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80" windowWidth="15570" windowHeight="9795" tabRatio="914" firstSheet="6" activeTab="6"/>
  </bookViews>
  <sheets>
    <sheet name="Росреестр исходник " sheetId="1" state="hidden" r:id="rId1"/>
    <sheet name="Росреестр массив" sheetId="2" state="hidden" r:id="rId2"/>
    <sheet name="Росреестр анализ" sheetId="5" state="hidden" r:id="rId3"/>
    <sheet name="Квар.реализация" sheetId="6" state="hidden" r:id="rId4"/>
    <sheet name="Лист1" sheetId="8" state="hidden" r:id="rId5"/>
    <sheet name="Кратко Кв.Реализация" sheetId="7" state="hidden" r:id="rId6"/>
    <sheet name="перечень квартир" sheetId="9" r:id="rId7"/>
  </sheets>
  <definedNames>
    <definedName name="_xlnm._FilterDatabase" localSheetId="3" hidden="1">Квар.реализация!$B$4:$Z$120</definedName>
    <definedName name="_xlnm._FilterDatabase" localSheetId="5" hidden="1">'Кратко Кв.Реализация'!$A$2:$AA$121</definedName>
    <definedName name="_xlnm._FilterDatabase" localSheetId="6" hidden="1">'перечень квартир'!$A$6:$P$96</definedName>
    <definedName name="_xlnm._FilterDatabase" localSheetId="0" hidden="1">'Росреестр исходник '!$A$3:$Q$1471</definedName>
    <definedName name="_xlnm._FilterDatabase" localSheetId="1" hidden="1">'Росреестр массив'!$A$3:$Q$813</definedName>
    <definedName name="_xlnm.Print_Titles" localSheetId="0">'Росреестр исходник '!$3:$3</definedName>
    <definedName name="локация">Квар.реализация!$B$5:$B$119</definedName>
  </definedNames>
  <calcPr calcId="145621" refMode="R1C1"/>
  <pivotCaches>
    <pivotCache cacheId="20" r:id="rId8"/>
    <pivotCache cacheId="21" r:id="rId9"/>
  </pivotCaches>
</workbook>
</file>

<file path=xl/calcChain.xml><?xml version="1.0" encoding="utf-8"?>
<calcChain xmlns="http://schemas.openxmlformats.org/spreadsheetml/2006/main">
  <c r="A8" i="9" l="1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H96" i="9"/>
  <c r="N96" i="9" s="1"/>
  <c r="J16" i="9"/>
  <c r="H16" i="9"/>
  <c r="N16" i="9" l="1"/>
  <c r="L16" i="9"/>
  <c r="M96" i="9"/>
  <c r="M16" i="9"/>
  <c r="J50" i="9" l="1"/>
  <c r="J52" i="9"/>
  <c r="J51" i="9"/>
  <c r="L51" i="9" l="1"/>
  <c r="O50" i="9"/>
  <c r="L52" i="9"/>
  <c r="O52" i="9"/>
  <c r="O51" i="9"/>
  <c r="L50" i="9"/>
  <c r="I55" i="9"/>
  <c r="K63" i="9" l="1"/>
  <c r="K64" i="9"/>
  <c r="K62" i="9"/>
  <c r="K72" i="9"/>
  <c r="K71" i="9"/>
  <c r="K82" i="9"/>
  <c r="K83" i="9"/>
  <c r="K81" i="9"/>
  <c r="K65" i="9"/>
  <c r="K66" i="9"/>
  <c r="K67" i="9"/>
  <c r="K68" i="9"/>
  <c r="K69" i="9"/>
  <c r="K70" i="9"/>
  <c r="K73" i="9"/>
  <c r="K74" i="9"/>
  <c r="K75" i="9"/>
  <c r="K76" i="9"/>
  <c r="K77" i="9"/>
  <c r="K78" i="9"/>
  <c r="K79" i="9"/>
  <c r="K80" i="9"/>
  <c r="K84" i="9"/>
  <c r="K85" i="9"/>
  <c r="K86" i="9"/>
  <c r="K87" i="9"/>
  <c r="K88" i="9"/>
  <c r="K89" i="9"/>
  <c r="K90" i="9"/>
  <c r="K91" i="9"/>
  <c r="K92" i="9"/>
  <c r="K93" i="9"/>
  <c r="K94" i="9"/>
  <c r="K95" i="9"/>
  <c r="K55" i="9"/>
  <c r="L54" i="9"/>
  <c r="L53" i="9"/>
  <c r="L56" i="9"/>
  <c r="L57" i="9"/>
  <c r="L58" i="9"/>
  <c r="L59" i="9"/>
  <c r="L60" i="9"/>
  <c r="L61" i="9"/>
  <c r="J54" i="9"/>
  <c r="J53" i="9"/>
  <c r="J56" i="9"/>
  <c r="J57" i="9"/>
  <c r="J58" i="9"/>
  <c r="J59" i="9"/>
  <c r="J60" i="9"/>
  <c r="J61" i="9"/>
  <c r="I83" i="9"/>
  <c r="I82" i="9"/>
  <c r="I81" i="9"/>
  <c r="I72" i="9"/>
  <c r="I71" i="9"/>
  <c r="I64" i="9"/>
  <c r="I63" i="9"/>
  <c r="I62" i="9"/>
  <c r="I65" i="9"/>
  <c r="I66" i="9"/>
  <c r="I67" i="9"/>
  <c r="I68" i="9"/>
  <c r="I69" i="9"/>
  <c r="I70" i="9"/>
  <c r="I73" i="9"/>
  <c r="I74" i="9"/>
  <c r="I75" i="9"/>
  <c r="I76" i="9"/>
  <c r="I77" i="9"/>
  <c r="I78" i="9"/>
  <c r="I79" i="9"/>
  <c r="I80" i="9"/>
  <c r="I84" i="9"/>
  <c r="I85" i="9"/>
  <c r="I86" i="9"/>
  <c r="I87" i="9"/>
  <c r="I88" i="9"/>
  <c r="I89" i="9"/>
  <c r="I90" i="9"/>
  <c r="I91" i="9"/>
  <c r="I92" i="9"/>
  <c r="I93" i="9"/>
  <c r="I94" i="9"/>
  <c r="I95" i="9"/>
  <c r="J46" i="9" l="1"/>
  <c r="J47" i="9"/>
  <c r="J19" i="9"/>
  <c r="J18" i="9"/>
  <c r="J8" i="9"/>
  <c r="O57" i="9"/>
  <c r="O58" i="9"/>
  <c r="O59" i="9"/>
  <c r="O60" i="9"/>
  <c r="O61" i="9"/>
  <c r="O56" i="9"/>
  <c r="O54" i="9"/>
  <c r="O53" i="9"/>
  <c r="O55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18" i="9" l="1"/>
  <c r="O47" i="9"/>
  <c r="L8" i="9"/>
  <c r="O8" i="9" s="1"/>
  <c r="O19" i="9"/>
  <c r="O46" i="9"/>
  <c r="H85" i="9"/>
  <c r="H86" i="9"/>
  <c r="H87" i="9"/>
  <c r="H88" i="9"/>
  <c r="H89" i="9"/>
  <c r="H90" i="9"/>
  <c r="H91" i="9"/>
  <c r="H92" i="9"/>
  <c r="H93" i="9"/>
  <c r="H94" i="9"/>
  <c r="H95" i="9"/>
  <c r="H84" i="9"/>
  <c r="H82" i="9"/>
  <c r="H83" i="9"/>
  <c r="H81" i="9"/>
  <c r="H74" i="9"/>
  <c r="H75" i="9"/>
  <c r="H76" i="9"/>
  <c r="H77" i="9"/>
  <c r="H78" i="9"/>
  <c r="H79" i="9"/>
  <c r="H80" i="9"/>
  <c r="H73" i="9"/>
  <c r="H72" i="9"/>
  <c r="H71" i="9"/>
  <c r="H66" i="9"/>
  <c r="H67" i="9"/>
  <c r="H68" i="9"/>
  <c r="H69" i="9"/>
  <c r="H70" i="9"/>
  <c r="H65" i="9"/>
  <c r="H64" i="9"/>
  <c r="H63" i="9"/>
  <c r="H62" i="9"/>
  <c r="H57" i="9"/>
  <c r="H58" i="9"/>
  <c r="H59" i="9"/>
  <c r="H60" i="9"/>
  <c r="H61" i="9"/>
  <c r="H56" i="9"/>
  <c r="H55" i="9"/>
  <c r="H54" i="9"/>
  <c r="H53" i="9"/>
  <c r="N95" i="9" l="1"/>
  <c r="M95" i="9"/>
  <c r="N54" i="9"/>
  <c r="M54" i="9"/>
  <c r="N60" i="9"/>
  <c r="M60" i="9"/>
  <c r="N58" i="9"/>
  <c r="M58" i="9"/>
  <c r="N62" i="9"/>
  <c r="M62" i="9"/>
  <c r="N64" i="9"/>
  <c r="M64" i="9"/>
  <c r="N70" i="9"/>
  <c r="M70" i="9"/>
  <c r="N68" i="9"/>
  <c r="M68" i="9"/>
  <c r="N66" i="9"/>
  <c r="M66" i="9"/>
  <c r="N72" i="9"/>
  <c r="M72" i="9"/>
  <c r="N80" i="9"/>
  <c r="M80" i="9"/>
  <c r="N78" i="9"/>
  <c r="M78" i="9"/>
  <c r="N76" i="9"/>
  <c r="M76" i="9"/>
  <c r="N74" i="9"/>
  <c r="M74" i="9"/>
  <c r="N83" i="9"/>
  <c r="M83" i="9"/>
  <c r="N84" i="9"/>
  <c r="M84" i="9"/>
  <c r="N94" i="9"/>
  <c r="M94" i="9"/>
  <c r="N92" i="9"/>
  <c r="M92" i="9"/>
  <c r="N90" i="9"/>
  <c r="M90" i="9"/>
  <c r="N88" i="9"/>
  <c r="M88" i="9"/>
  <c r="N86" i="9"/>
  <c r="M86" i="9"/>
  <c r="N56" i="9"/>
  <c r="M56" i="9"/>
  <c r="N53" i="9"/>
  <c r="M53" i="9"/>
  <c r="N55" i="9"/>
  <c r="M55" i="9"/>
  <c r="N61" i="9"/>
  <c r="M61" i="9"/>
  <c r="N59" i="9"/>
  <c r="M59" i="9"/>
  <c r="N57" i="9"/>
  <c r="M57" i="9"/>
  <c r="N63" i="9"/>
  <c r="M63" i="9"/>
  <c r="N65" i="9"/>
  <c r="M65" i="9"/>
  <c r="N69" i="9"/>
  <c r="M69" i="9"/>
  <c r="N67" i="9"/>
  <c r="M67" i="9"/>
  <c r="N71" i="9"/>
  <c r="M71" i="9"/>
  <c r="N73" i="9"/>
  <c r="M73" i="9"/>
  <c r="N79" i="9"/>
  <c r="M79" i="9"/>
  <c r="N77" i="9"/>
  <c r="M77" i="9"/>
  <c r="N75" i="9"/>
  <c r="M75" i="9"/>
  <c r="N81" i="9"/>
  <c r="M81" i="9"/>
  <c r="N82" i="9"/>
  <c r="M82" i="9"/>
  <c r="N93" i="9"/>
  <c r="M93" i="9"/>
  <c r="N91" i="9"/>
  <c r="M91" i="9"/>
  <c r="N89" i="9"/>
  <c r="M89" i="9"/>
  <c r="N87" i="9"/>
  <c r="M87" i="9"/>
  <c r="N85" i="9"/>
  <c r="M85" i="9"/>
  <c r="H52" i="9"/>
  <c r="H51" i="9"/>
  <c r="H47" i="9"/>
  <c r="H46" i="9"/>
  <c r="H50" i="9"/>
  <c r="H8" i="9"/>
  <c r="N46" i="9" l="1"/>
  <c r="M46" i="9"/>
  <c r="N8" i="9"/>
  <c r="M8" i="9"/>
  <c r="N51" i="9"/>
  <c r="M51" i="9"/>
  <c r="M50" i="9"/>
  <c r="N50" i="9"/>
  <c r="N47" i="9"/>
  <c r="M47" i="9"/>
  <c r="N52" i="9"/>
  <c r="M52" i="9"/>
  <c r="J45" i="9"/>
  <c r="J48" i="9"/>
  <c r="J17" i="9"/>
  <c r="J41" i="9"/>
  <c r="J42" i="9"/>
  <c r="J43" i="9"/>
  <c r="J44" i="9"/>
  <c r="J40" i="9"/>
  <c r="J24" i="9"/>
  <c r="J23" i="9"/>
  <c r="J22" i="9"/>
  <c r="J21" i="9"/>
  <c r="J20" i="9"/>
  <c r="J13" i="9"/>
  <c r="J14" i="9"/>
  <c r="J15" i="9"/>
  <c r="J12" i="9"/>
  <c r="J49" i="9"/>
  <c r="J11" i="9"/>
  <c r="J10" i="9"/>
  <c r="J9" i="9"/>
  <c r="J7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25" i="9"/>
  <c r="O39" i="9" l="1"/>
  <c r="O37" i="9"/>
  <c r="O35" i="9"/>
  <c r="O33" i="9"/>
  <c r="O31" i="9"/>
  <c r="O29" i="9"/>
  <c r="O27" i="9"/>
  <c r="L7" i="9"/>
  <c r="O7" i="9" s="1"/>
  <c r="L10" i="9"/>
  <c r="O10" i="9" s="1"/>
  <c r="O49" i="9"/>
  <c r="L15" i="9"/>
  <c r="O15" i="9" s="1"/>
  <c r="L13" i="9"/>
  <c r="O13" i="9" s="1"/>
  <c r="L21" i="9"/>
  <c r="O21" i="9" s="1"/>
  <c r="L23" i="9"/>
  <c r="O23" i="9" s="1"/>
  <c r="O40" i="9"/>
  <c r="O43" i="9"/>
  <c r="O41" i="9"/>
  <c r="L48" i="9"/>
  <c r="O48" i="9"/>
  <c r="O25" i="9"/>
  <c r="O38" i="9"/>
  <c r="O36" i="9"/>
  <c r="O34" i="9"/>
  <c r="O32" i="9"/>
  <c r="O30" i="9"/>
  <c r="O28" i="9"/>
  <c r="O26" i="9"/>
  <c r="L9" i="9"/>
  <c r="O9" i="9" s="1"/>
  <c r="L11" i="9"/>
  <c r="O11" i="9" s="1"/>
  <c r="L12" i="9"/>
  <c r="O12" i="9" s="1"/>
  <c r="L14" i="9"/>
  <c r="O14" i="9" s="1"/>
  <c r="L20" i="9"/>
  <c r="O20" i="9" s="1"/>
  <c r="L22" i="9"/>
  <c r="O22" i="9" s="1"/>
  <c r="L24" i="9"/>
  <c r="O24" i="9" s="1"/>
  <c r="O44" i="9"/>
  <c r="O42" i="9"/>
  <c r="O17" i="9"/>
  <c r="O45" i="9"/>
  <c r="O96" i="9" l="1"/>
  <c r="H48" i="9" l="1"/>
  <c r="H19" i="9"/>
  <c r="H18" i="9"/>
  <c r="H13" i="9"/>
  <c r="H14" i="9"/>
  <c r="H15" i="9"/>
  <c r="H12" i="9"/>
  <c r="H49" i="9"/>
  <c r="H21" i="9"/>
  <c r="H20" i="9"/>
  <c r="H23" i="9"/>
  <c r="H24" i="9"/>
  <c r="H22" i="9"/>
  <c r="H45" i="9"/>
  <c r="H41" i="9"/>
  <c r="H42" i="9"/>
  <c r="H43" i="9"/>
  <c r="H44" i="9"/>
  <c r="H40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25" i="9"/>
  <c r="H17" i="9"/>
  <c r="H11" i="9"/>
  <c r="H10" i="9"/>
  <c r="H9" i="9"/>
  <c r="H7" i="9"/>
  <c r="N10" i="9" l="1"/>
  <c r="M10" i="9"/>
  <c r="N9" i="9"/>
  <c r="M9" i="9"/>
  <c r="N11" i="9"/>
  <c r="M11" i="9"/>
  <c r="N25" i="9"/>
  <c r="M25" i="9"/>
  <c r="N38" i="9"/>
  <c r="M38" i="9"/>
  <c r="N36" i="9"/>
  <c r="M36" i="9"/>
  <c r="N34" i="9"/>
  <c r="M34" i="9"/>
  <c r="N32" i="9"/>
  <c r="M32" i="9"/>
  <c r="N30" i="9"/>
  <c r="M30" i="9"/>
  <c r="N28" i="9"/>
  <c r="M28" i="9"/>
  <c r="N26" i="9"/>
  <c r="M26" i="9"/>
  <c r="N44" i="9"/>
  <c r="M44" i="9"/>
  <c r="N42" i="9"/>
  <c r="M42" i="9"/>
  <c r="N45" i="9"/>
  <c r="M45" i="9"/>
  <c r="N24" i="9"/>
  <c r="M24" i="9"/>
  <c r="N20" i="9"/>
  <c r="M20" i="9"/>
  <c r="N49" i="9"/>
  <c r="M49" i="9"/>
  <c r="N15" i="9"/>
  <c r="M15" i="9"/>
  <c r="N13" i="9"/>
  <c r="M13" i="9"/>
  <c r="N19" i="9"/>
  <c r="M19" i="9"/>
  <c r="N7" i="9"/>
  <c r="M7" i="9"/>
  <c r="N17" i="9"/>
  <c r="M17" i="9"/>
  <c r="N39" i="9"/>
  <c r="M39" i="9"/>
  <c r="N37" i="9"/>
  <c r="M37" i="9"/>
  <c r="N35" i="9"/>
  <c r="M35" i="9"/>
  <c r="N33" i="9"/>
  <c r="M33" i="9"/>
  <c r="N31" i="9"/>
  <c r="M31" i="9"/>
  <c r="N29" i="9"/>
  <c r="M29" i="9"/>
  <c r="N27" i="9"/>
  <c r="M27" i="9"/>
  <c r="N40" i="9"/>
  <c r="M40" i="9"/>
  <c r="N43" i="9"/>
  <c r="M43" i="9"/>
  <c r="N41" i="9"/>
  <c r="M41" i="9"/>
  <c r="N22" i="9"/>
  <c r="M22" i="9"/>
  <c r="N23" i="9"/>
  <c r="M23" i="9"/>
  <c r="N21" i="9"/>
  <c r="M21" i="9"/>
  <c r="N12" i="9"/>
  <c r="M12" i="9"/>
  <c r="N14" i="9"/>
  <c r="M14" i="9"/>
  <c r="N18" i="9"/>
  <c r="M18" i="9"/>
  <c r="N48" i="9"/>
  <c r="M48" i="9"/>
  <c r="B29" i="7" l="1"/>
  <c r="C29" i="7"/>
  <c r="D29" i="7"/>
  <c r="E29" i="7"/>
  <c r="I29" i="7"/>
  <c r="K29" i="7"/>
  <c r="M29" i="7"/>
  <c r="N29" i="7" s="1"/>
  <c r="Y112" i="7"/>
  <c r="Y113" i="7"/>
  <c r="Y114" i="7"/>
  <c r="Y115" i="7"/>
  <c r="Y116" i="7"/>
  <c r="Y117" i="7"/>
  <c r="Y118" i="7"/>
  <c r="Y119" i="7"/>
  <c r="M115" i="7"/>
  <c r="P115" i="7" s="1"/>
  <c r="Q115" i="7" s="1"/>
  <c r="M116" i="7"/>
  <c r="N116" i="7" s="1"/>
  <c r="M114" i="7"/>
  <c r="M113" i="7"/>
  <c r="N113" i="7" s="1"/>
  <c r="M112" i="7"/>
  <c r="N112" i="7" s="1"/>
  <c r="M119" i="7"/>
  <c r="M117" i="7"/>
  <c r="N117" i="7" s="1"/>
  <c r="M118" i="7"/>
  <c r="G113" i="7"/>
  <c r="I113" i="7" s="1"/>
  <c r="G114" i="7"/>
  <c r="I114" i="7" s="1"/>
  <c r="L114" i="7" s="1"/>
  <c r="G115" i="7"/>
  <c r="I115" i="7" s="1"/>
  <c r="G116" i="7"/>
  <c r="I116" i="7" s="1"/>
  <c r="G117" i="7"/>
  <c r="I117" i="7" s="1"/>
  <c r="L117" i="7" s="1"/>
  <c r="G118" i="7"/>
  <c r="I118" i="7" s="1"/>
  <c r="G119" i="7"/>
  <c r="I119" i="7" s="1"/>
  <c r="G112" i="7"/>
  <c r="I112" i="7" s="1"/>
  <c r="J29" i="7" l="1"/>
  <c r="P29" i="7"/>
  <c r="Q29" i="7" s="1"/>
  <c r="L29" i="7"/>
  <c r="S29" i="7"/>
  <c r="T29" i="7" s="1"/>
  <c r="O29" i="7"/>
  <c r="V29" i="7"/>
  <c r="O119" i="7"/>
  <c r="J114" i="7"/>
  <c r="V116" i="7"/>
  <c r="P112" i="7"/>
  <c r="Q112" i="7" s="1"/>
  <c r="P117" i="7"/>
  <c r="Q117" i="7" s="1"/>
  <c r="AB117" i="7" s="1"/>
  <c r="V115" i="7"/>
  <c r="N115" i="7"/>
  <c r="V113" i="7"/>
  <c r="P113" i="7"/>
  <c r="Q113" i="7" s="1"/>
  <c r="R113" i="7" s="1"/>
  <c r="V117" i="7"/>
  <c r="V112" i="7"/>
  <c r="O117" i="7"/>
  <c r="S117" i="7"/>
  <c r="T117" i="7" s="1"/>
  <c r="S115" i="7"/>
  <c r="T115" i="7" s="1"/>
  <c r="J115" i="7"/>
  <c r="L115" i="7"/>
  <c r="N114" i="7"/>
  <c r="V114" i="7"/>
  <c r="P114" i="7"/>
  <c r="Q114" i="7" s="1"/>
  <c r="O115" i="7"/>
  <c r="O112" i="7"/>
  <c r="L112" i="7"/>
  <c r="J112" i="7"/>
  <c r="S112" i="7"/>
  <c r="T112" i="7" s="1"/>
  <c r="O116" i="7"/>
  <c r="L116" i="7"/>
  <c r="J116" i="7"/>
  <c r="S116" i="7"/>
  <c r="T116" i="7" s="1"/>
  <c r="S119" i="7"/>
  <c r="T119" i="7" s="1"/>
  <c r="L113" i="7"/>
  <c r="J113" i="7"/>
  <c r="O113" i="7"/>
  <c r="V119" i="7"/>
  <c r="N119" i="7"/>
  <c r="S118" i="7"/>
  <c r="T118" i="7" s="1"/>
  <c r="O118" i="7"/>
  <c r="J119" i="7"/>
  <c r="L119" i="7"/>
  <c r="V118" i="7"/>
  <c r="P118" i="7"/>
  <c r="Q118" i="7" s="1"/>
  <c r="N118" i="7"/>
  <c r="S113" i="7"/>
  <c r="T113" i="7" s="1"/>
  <c r="S114" i="7"/>
  <c r="T114" i="7" s="1"/>
  <c r="O114" i="7"/>
  <c r="J118" i="7"/>
  <c r="L118" i="7"/>
  <c r="P119" i="7"/>
  <c r="Q119" i="7" s="1"/>
  <c r="AB115" i="7"/>
  <c r="R115" i="7"/>
  <c r="J117" i="7"/>
  <c r="P116" i="7"/>
  <c r="Q116" i="7" s="1"/>
  <c r="R29" i="7" l="1"/>
  <c r="U29" i="7" s="1"/>
  <c r="W29" i="7" s="1"/>
  <c r="AB29" i="7"/>
  <c r="AB112" i="7"/>
  <c r="R112" i="7"/>
  <c r="Z112" i="7" s="1"/>
  <c r="AB113" i="7"/>
  <c r="R117" i="7"/>
  <c r="AA117" i="7" s="1"/>
  <c r="AA115" i="7"/>
  <c r="Z115" i="7"/>
  <c r="AA113" i="7"/>
  <c r="Z113" i="7"/>
  <c r="R114" i="7"/>
  <c r="AA114" i="7" s="1"/>
  <c r="AB114" i="7"/>
  <c r="AB119" i="7"/>
  <c r="R119" i="7"/>
  <c r="Z119" i="7" s="1"/>
  <c r="R118" i="7"/>
  <c r="Z118" i="7" s="1"/>
  <c r="AB118" i="7"/>
  <c r="AB116" i="7"/>
  <c r="R116" i="7"/>
  <c r="Z116" i="7" s="1"/>
  <c r="AA29" i="7" l="1"/>
  <c r="X29" i="7"/>
  <c r="Z29" i="7"/>
  <c r="AA112" i="7"/>
  <c r="Z117" i="7"/>
  <c r="AA116" i="7"/>
  <c r="Z114" i="7"/>
  <c r="AA119" i="7"/>
  <c r="AA118" i="7"/>
  <c r="D2" i="9" l="1"/>
  <c r="E2" i="9"/>
  <c r="C2" i="9" l="1"/>
  <c r="B2" i="9"/>
  <c r="C126" i="7" l="1"/>
  <c r="C125" i="7"/>
  <c r="I90" i="7" l="1"/>
  <c r="S90" i="7" s="1"/>
  <c r="I89" i="7"/>
  <c r="S89" i="7" s="1"/>
  <c r="I88" i="7"/>
  <c r="S88" i="7" s="1"/>
  <c r="I87" i="7"/>
  <c r="S87" i="7" s="1"/>
  <c r="I86" i="7"/>
  <c r="S86" i="7" s="1"/>
  <c r="I85" i="7"/>
  <c r="S85" i="7" s="1"/>
  <c r="I84" i="7"/>
  <c r="S84" i="7" s="1"/>
  <c r="I83" i="7"/>
  <c r="S83" i="7" s="1"/>
  <c r="I39" i="7"/>
  <c r="S39" i="7" s="1"/>
  <c r="I38" i="7"/>
  <c r="S38" i="7" s="1"/>
  <c r="I37" i="7"/>
  <c r="S37" i="7" s="1"/>
  <c r="I36" i="7"/>
  <c r="S36" i="7" s="1"/>
  <c r="I35" i="7"/>
  <c r="S35" i="7" s="1"/>
  <c r="I34" i="7"/>
  <c r="S34" i="7" s="1"/>
  <c r="I33" i="7"/>
  <c r="S33" i="7" s="1"/>
  <c r="I32" i="7"/>
  <c r="S32" i="7" s="1"/>
  <c r="I31" i="7"/>
  <c r="S31" i="7" s="1"/>
  <c r="I27" i="7"/>
  <c r="S27" i="7" s="1"/>
  <c r="I26" i="7"/>
  <c r="S26" i="7" s="1"/>
  <c r="I25" i="7"/>
  <c r="S25" i="7" s="1"/>
  <c r="I100" i="7"/>
  <c r="S100" i="7" s="1"/>
  <c r="I108" i="7"/>
  <c r="S108" i="7" s="1"/>
  <c r="I51" i="7"/>
  <c r="S51" i="7" s="1"/>
  <c r="I50" i="7"/>
  <c r="S50" i="7" s="1"/>
  <c r="I49" i="7"/>
  <c r="S49" i="7" s="1"/>
  <c r="I48" i="7"/>
  <c r="S48" i="7" s="1"/>
  <c r="I47" i="7"/>
  <c r="S47" i="7" s="1"/>
  <c r="I46" i="7"/>
  <c r="S46" i="7" s="1"/>
  <c r="I45" i="7"/>
  <c r="S45" i="7" s="1"/>
  <c r="I44" i="7"/>
  <c r="S44" i="7" s="1"/>
  <c r="I82" i="7"/>
  <c r="S82" i="7" s="1"/>
  <c r="I81" i="7"/>
  <c r="S81" i="7" s="1"/>
  <c r="I80" i="7"/>
  <c r="S80" i="7" s="1"/>
  <c r="I79" i="7"/>
  <c r="S79" i="7" s="1"/>
  <c r="I78" i="7"/>
  <c r="S78" i="7" s="1"/>
  <c r="I77" i="7"/>
  <c r="S77" i="7" s="1"/>
  <c r="I68" i="7"/>
  <c r="S68" i="7" s="1"/>
  <c r="I67" i="7"/>
  <c r="S67" i="7" s="1"/>
  <c r="I66" i="7"/>
  <c r="S66" i="7" s="1"/>
  <c r="I65" i="7"/>
  <c r="S65" i="7" s="1"/>
  <c r="I64" i="7"/>
  <c r="S64" i="7" s="1"/>
  <c r="I63" i="7"/>
  <c r="S63" i="7" s="1"/>
  <c r="I92" i="7"/>
  <c r="S92" i="7" s="1"/>
  <c r="I74" i="7"/>
  <c r="S74" i="7" s="1"/>
  <c r="I73" i="7"/>
  <c r="S73" i="7" s="1"/>
  <c r="I72" i="7"/>
  <c r="S72" i="7" s="1"/>
  <c r="I71" i="7"/>
  <c r="S71" i="7" s="1"/>
  <c r="I99" i="7"/>
  <c r="S99" i="7" s="1"/>
  <c r="I98" i="7"/>
  <c r="S98" i="7" s="1"/>
  <c r="I97" i="7"/>
  <c r="S97" i="7" s="1"/>
  <c r="I96" i="7"/>
  <c r="S96" i="7" s="1"/>
  <c r="I95" i="7"/>
  <c r="S95" i="7" s="1"/>
  <c r="I94" i="7"/>
  <c r="S94" i="7" s="1"/>
  <c r="I93" i="7"/>
  <c r="S93" i="7" s="1"/>
  <c r="I62" i="7"/>
  <c r="S62" i="7" s="1"/>
  <c r="I61" i="7"/>
  <c r="S61" i="7" s="1"/>
  <c r="I60" i="7"/>
  <c r="S60" i="7" s="1"/>
  <c r="I59" i="7"/>
  <c r="S59" i="7" s="1"/>
  <c r="I58" i="7"/>
  <c r="S58" i="7" s="1"/>
  <c r="I57" i="7"/>
  <c r="S57" i="7" s="1"/>
  <c r="I56" i="7"/>
  <c r="S56" i="7" s="1"/>
  <c r="I16" i="7"/>
  <c r="S16" i="7" s="1"/>
  <c r="I15" i="7"/>
  <c r="S15" i="7" s="1"/>
  <c r="I14" i="7"/>
  <c r="S14" i="7" s="1"/>
  <c r="I13" i="7"/>
  <c r="S13" i="7" s="1"/>
  <c r="I12" i="7"/>
  <c r="S12" i="7" s="1"/>
  <c r="I11" i="7"/>
  <c r="S11" i="7" s="1"/>
  <c r="I76" i="7"/>
  <c r="S76" i="7" s="1"/>
  <c r="I75" i="7"/>
  <c r="S75" i="7" s="1"/>
  <c r="I70" i="7"/>
  <c r="S70" i="7" s="1"/>
  <c r="I69" i="7"/>
  <c r="S69" i="7" s="1"/>
  <c r="I91" i="7"/>
  <c r="S91" i="7" s="1"/>
  <c r="I111" i="7"/>
  <c r="S111" i="7" s="1"/>
  <c r="I110" i="7"/>
  <c r="S110" i="7" s="1"/>
  <c r="I109" i="7"/>
  <c r="S109" i="7" s="1"/>
  <c r="I24" i="7"/>
  <c r="S24" i="7" s="1"/>
  <c r="I28" i="7"/>
  <c r="S28" i="7" s="1"/>
  <c r="I55" i="7"/>
  <c r="S55" i="7" s="1"/>
  <c r="I54" i="7"/>
  <c r="S54" i="7" s="1"/>
  <c r="I53" i="7"/>
  <c r="S53" i="7" s="1"/>
  <c r="I23" i="7"/>
  <c r="S23" i="7" s="1"/>
  <c r="I22" i="7"/>
  <c r="S22" i="7" s="1"/>
  <c r="I21" i="7"/>
  <c r="S21" i="7" s="1"/>
  <c r="I20" i="7"/>
  <c r="S20" i="7" s="1"/>
  <c r="I19" i="7"/>
  <c r="S19" i="7" s="1"/>
  <c r="I18" i="7"/>
  <c r="S18" i="7" s="1"/>
  <c r="I17" i="7"/>
  <c r="S17" i="7" s="1"/>
  <c r="I107" i="7"/>
  <c r="S107" i="7" s="1"/>
  <c r="I106" i="7"/>
  <c r="S106" i="7" s="1"/>
  <c r="I105" i="7"/>
  <c r="S105" i="7" s="1"/>
  <c r="I104" i="7"/>
  <c r="S104" i="7" s="1"/>
  <c r="I103" i="7"/>
  <c r="S103" i="7" s="1"/>
  <c r="I102" i="7"/>
  <c r="S102" i="7" s="1"/>
  <c r="I101" i="7"/>
  <c r="S101" i="7" s="1"/>
  <c r="I10" i="7"/>
  <c r="S10" i="7" s="1"/>
  <c r="I9" i="7"/>
  <c r="S9" i="7" s="1"/>
  <c r="I8" i="7"/>
  <c r="S8" i="7" s="1"/>
  <c r="I7" i="7"/>
  <c r="S7" i="7" s="1"/>
  <c r="I6" i="7"/>
  <c r="S6" i="7" s="1"/>
  <c r="I52" i="7"/>
  <c r="S52" i="7" s="1"/>
  <c r="I43" i="7"/>
  <c r="S43" i="7" s="1"/>
  <c r="I42" i="7"/>
  <c r="S42" i="7" s="1"/>
  <c r="I41" i="7"/>
  <c r="S41" i="7" s="1"/>
  <c r="I40" i="7"/>
  <c r="S40" i="7" s="1"/>
  <c r="I30" i="7"/>
  <c r="S30" i="7" s="1"/>
  <c r="I5" i="7"/>
  <c r="S5" i="7" s="1"/>
  <c r="I4" i="7"/>
  <c r="S4" i="7" s="1"/>
  <c r="I3" i="7"/>
  <c r="S3" i="7" s="1"/>
  <c r="W121" i="7" l="1"/>
  <c r="AD5" i="6" l="1"/>
  <c r="M17" i="7" l="1"/>
  <c r="M18" i="7"/>
  <c r="M19" i="7"/>
  <c r="M20" i="7"/>
  <c r="M21" i="7"/>
  <c r="M22" i="7"/>
  <c r="M23" i="7"/>
  <c r="M3" i="7"/>
  <c r="M2" i="7"/>
  <c r="K4" i="7"/>
  <c r="K5" i="7"/>
  <c r="K30" i="7"/>
  <c r="K40" i="7"/>
  <c r="K41" i="7"/>
  <c r="K42" i="7"/>
  <c r="K43" i="7"/>
  <c r="K52" i="7"/>
  <c r="K6" i="7"/>
  <c r="K7" i="7"/>
  <c r="K8" i="7"/>
  <c r="K9" i="7"/>
  <c r="K10" i="7"/>
  <c r="K101" i="7"/>
  <c r="K102" i="7"/>
  <c r="K103" i="7"/>
  <c r="K104" i="7"/>
  <c r="K105" i="7"/>
  <c r="K106" i="7"/>
  <c r="K107" i="7"/>
  <c r="K17" i="7"/>
  <c r="K18" i="7"/>
  <c r="K19" i="7"/>
  <c r="K20" i="7"/>
  <c r="K21" i="7"/>
  <c r="K22" i="7"/>
  <c r="K23" i="7"/>
  <c r="K53" i="7"/>
  <c r="K54" i="7"/>
  <c r="K55" i="7"/>
  <c r="K28" i="7"/>
  <c r="K24" i="7"/>
  <c r="K109" i="7"/>
  <c r="K110" i="7"/>
  <c r="K111" i="7"/>
  <c r="K91" i="7"/>
  <c r="K69" i="7"/>
  <c r="K70" i="7"/>
  <c r="K75" i="7"/>
  <c r="K76" i="7"/>
  <c r="K11" i="7"/>
  <c r="K12" i="7"/>
  <c r="K13" i="7"/>
  <c r="K14" i="7"/>
  <c r="K15" i="7"/>
  <c r="K16" i="7"/>
  <c r="K56" i="7"/>
  <c r="K57" i="7"/>
  <c r="K58" i="7"/>
  <c r="K59" i="7"/>
  <c r="K60" i="7"/>
  <c r="K61" i="7"/>
  <c r="K62" i="7"/>
  <c r="K93" i="7"/>
  <c r="K94" i="7"/>
  <c r="K95" i="7"/>
  <c r="K96" i="7"/>
  <c r="K97" i="7"/>
  <c r="K98" i="7"/>
  <c r="K99" i="7"/>
  <c r="K71" i="7"/>
  <c r="K72" i="7"/>
  <c r="K73" i="7"/>
  <c r="K74" i="7"/>
  <c r="K92" i="7"/>
  <c r="K63" i="7"/>
  <c r="K64" i="7"/>
  <c r="K65" i="7"/>
  <c r="K66" i="7"/>
  <c r="K67" i="7"/>
  <c r="K68" i="7"/>
  <c r="K77" i="7"/>
  <c r="K78" i="7"/>
  <c r="K79" i="7"/>
  <c r="K80" i="7"/>
  <c r="K82" i="7"/>
  <c r="K44" i="7"/>
  <c r="K45" i="7"/>
  <c r="K46" i="7"/>
  <c r="K47" i="7"/>
  <c r="K48" i="7"/>
  <c r="K49" i="7"/>
  <c r="K50" i="7"/>
  <c r="K51" i="7"/>
  <c r="K108" i="7"/>
  <c r="K25" i="7"/>
  <c r="K26" i="7"/>
  <c r="K27" i="7"/>
  <c r="K31" i="7"/>
  <c r="K32" i="7"/>
  <c r="K33" i="7"/>
  <c r="K34" i="7"/>
  <c r="K35" i="7"/>
  <c r="K36" i="7"/>
  <c r="K37" i="7"/>
  <c r="K38" i="7"/>
  <c r="K39" i="7"/>
  <c r="K83" i="7"/>
  <c r="K84" i="7"/>
  <c r="K85" i="7"/>
  <c r="K86" i="7"/>
  <c r="K87" i="7"/>
  <c r="K88" i="7"/>
  <c r="K89" i="7"/>
  <c r="K90" i="7"/>
  <c r="K3" i="7"/>
  <c r="E4" i="7"/>
  <c r="E5" i="7"/>
  <c r="E30" i="7"/>
  <c r="E40" i="7"/>
  <c r="E41" i="7"/>
  <c r="E42" i="7"/>
  <c r="E43" i="7"/>
  <c r="E52" i="7"/>
  <c r="E6" i="7"/>
  <c r="E7" i="7"/>
  <c r="E8" i="7"/>
  <c r="E9" i="7"/>
  <c r="E10" i="7"/>
  <c r="E101" i="7"/>
  <c r="E102" i="7"/>
  <c r="E103" i="7"/>
  <c r="E104" i="7"/>
  <c r="E105" i="7"/>
  <c r="E106" i="7"/>
  <c r="E107" i="7"/>
  <c r="E17" i="7"/>
  <c r="E18" i="7"/>
  <c r="E19" i="7"/>
  <c r="E20" i="7"/>
  <c r="E21" i="7"/>
  <c r="E22" i="7"/>
  <c r="E23" i="7"/>
  <c r="E53" i="7"/>
  <c r="E54" i="7"/>
  <c r="E55" i="7"/>
  <c r="E28" i="7"/>
  <c r="E24" i="7"/>
  <c r="E109" i="7"/>
  <c r="E110" i="7"/>
  <c r="E111" i="7"/>
  <c r="E91" i="7"/>
  <c r="E69" i="7"/>
  <c r="E70" i="7"/>
  <c r="E75" i="7"/>
  <c r="E76" i="7"/>
  <c r="E11" i="7"/>
  <c r="E12" i="7"/>
  <c r="E13" i="7"/>
  <c r="E14" i="7"/>
  <c r="E15" i="7"/>
  <c r="E16" i="7"/>
  <c r="E56" i="7"/>
  <c r="E57" i="7"/>
  <c r="E58" i="7"/>
  <c r="E59" i="7"/>
  <c r="E60" i="7"/>
  <c r="E61" i="7"/>
  <c r="E62" i="7"/>
  <c r="E93" i="7"/>
  <c r="E94" i="7"/>
  <c r="E95" i="7"/>
  <c r="E96" i="7"/>
  <c r="E97" i="7"/>
  <c r="E98" i="7"/>
  <c r="E99" i="7"/>
  <c r="E71" i="7"/>
  <c r="E72" i="7"/>
  <c r="E73" i="7"/>
  <c r="E74" i="7"/>
  <c r="E92" i="7"/>
  <c r="E63" i="7"/>
  <c r="E64" i="7"/>
  <c r="E65" i="7"/>
  <c r="E66" i="7"/>
  <c r="E67" i="7"/>
  <c r="E68" i="7"/>
  <c r="E77" i="7"/>
  <c r="E78" i="7"/>
  <c r="E79" i="7"/>
  <c r="E80" i="7"/>
  <c r="E81" i="7"/>
  <c r="E82" i="7"/>
  <c r="E44" i="7"/>
  <c r="E45" i="7"/>
  <c r="E46" i="7"/>
  <c r="E47" i="7"/>
  <c r="E48" i="7"/>
  <c r="E49" i="7"/>
  <c r="E50" i="7"/>
  <c r="E51" i="7"/>
  <c r="E108" i="7"/>
  <c r="E100" i="7"/>
  <c r="E25" i="7"/>
  <c r="E26" i="7"/>
  <c r="E27" i="7"/>
  <c r="E31" i="7"/>
  <c r="E32" i="7"/>
  <c r="E33" i="7"/>
  <c r="E34" i="7"/>
  <c r="E35" i="7"/>
  <c r="E36" i="7"/>
  <c r="E37" i="7"/>
  <c r="E38" i="7"/>
  <c r="E39" i="7"/>
  <c r="E83" i="7"/>
  <c r="E84" i="7"/>
  <c r="E85" i="7"/>
  <c r="E86" i="7"/>
  <c r="E87" i="7"/>
  <c r="E88" i="7"/>
  <c r="E89" i="7"/>
  <c r="E90" i="7"/>
  <c r="E3" i="7"/>
  <c r="D4" i="7"/>
  <c r="D5" i="7"/>
  <c r="D30" i="7"/>
  <c r="D40" i="7"/>
  <c r="D41" i="7"/>
  <c r="D42" i="7"/>
  <c r="D43" i="7"/>
  <c r="D52" i="7"/>
  <c r="D6" i="7"/>
  <c r="D7" i="7"/>
  <c r="D8" i="7"/>
  <c r="D9" i="7"/>
  <c r="D10" i="7"/>
  <c r="D101" i="7"/>
  <c r="D102" i="7"/>
  <c r="D103" i="7"/>
  <c r="D104" i="7"/>
  <c r="D105" i="7"/>
  <c r="D106" i="7"/>
  <c r="D107" i="7"/>
  <c r="D17" i="7"/>
  <c r="D18" i="7"/>
  <c r="D19" i="7"/>
  <c r="D20" i="7"/>
  <c r="D21" i="7"/>
  <c r="D22" i="7"/>
  <c r="D23" i="7"/>
  <c r="D53" i="7"/>
  <c r="D54" i="7"/>
  <c r="D55" i="7"/>
  <c r="D28" i="7"/>
  <c r="D24" i="7"/>
  <c r="D109" i="7"/>
  <c r="D110" i="7"/>
  <c r="D111" i="7"/>
  <c r="D91" i="7"/>
  <c r="D69" i="7"/>
  <c r="D70" i="7"/>
  <c r="D75" i="7"/>
  <c r="D76" i="7"/>
  <c r="D11" i="7"/>
  <c r="D12" i="7"/>
  <c r="D13" i="7"/>
  <c r="D14" i="7"/>
  <c r="D15" i="7"/>
  <c r="D16" i="7"/>
  <c r="D56" i="7"/>
  <c r="M56" i="7" s="1"/>
  <c r="D57" i="7"/>
  <c r="D58" i="7"/>
  <c r="D59" i="7"/>
  <c r="D60" i="7"/>
  <c r="D61" i="7"/>
  <c r="D62" i="7"/>
  <c r="D93" i="7"/>
  <c r="D94" i="7"/>
  <c r="D95" i="7"/>
  <c r="D96" i="7"/>
  <c r="D97" i="7"/>
  <c r="D98" i="7"/>
  <c r="D99" i="7"/>
  <c r="D71" i="7"/>
  <c r="D72" i="7"/>
  <c r="D73" i="7"/>
  <c r="D74" i="7"/>
  <c r="D92" i="7"/>
  <c r="D63" i="7"/>
  <c r="D64" i="7"/>
  <c r="D65" i="7"/>
  <c r="D66" i="7"/>
  <c r="D67" i="7"/>
  <c r="D68" i="7"/>
  <c r="D77" i="7"/>
  <c r="D78" i="7"/>
  <c r="D79" i="7"/>
  <c r="D80" i="7"/>
  <c r="D81" i="7"/>
  <c r="D82" i="7"/>
  <c r="D44" i="7"/>
  <c r="D45" i="7"/>
  <c r="D46" i="7"/>
  <c r="D47" i="7"/>
  <c r="D48" i="7"/>
  <c r="D49" i="7"/>
  <c r="D50" i="7"/>
  <c r="D51" i="7"/>
  <c r="D108" i="7"/>
  <c r="D100" i="7"/>
  <c r="D25" i="7"/>
  <c r="D26" i="7"/>
  <c r="D27" i="7"/>
  <c r="M27" i="7" s="1"/>
  <c r="D31" i="7"/>
  <c r="D32" i="7"/>
  <c r="D33" i="7"/>
  <c r="D34" i="7"/>
  <c r="D35" i="7"/>
  <c r="D36" i="7"/>
  <c r="D37" i="7"/>
  <c r="D38" i="7"/>
  <c r="D39" i="7"/>
  <c r="D83" i="7"/>
  <c r="D84" i="7"/>
  <c r="D85" i="7"/>
  <c r="D86" i="7"/>
  <c r="D87" i="7"/>
  <c r="D88" i="7"/>
  <c r="D89" i="7"/>
  <c r="D90" i="7"/>
  <c r="D3" i="7"/>
  <c r="C4" i="7"/>
  <c r="C5" i="7"/>
  <c r="C30" i="7"/>
  <c r="C40" i="7"/>
  <c r="C41" i="7"/>
  <c r="C42" i="7"/>
  <c r="C43" i="7"/>
  <c r="C52" i="7"/>
  <c r="C6" i="7"/>
  <c r="C7" i="7"/>
  <c r="C8" i="7"/>
  <c r="C9" i="7"/>
  <c r="C10" i="7"/>
  <c r="C101" i="7"/>
  <c r="C102" i="7"/>
  <c r="C103" i="7"/>
  <c r="C104" i="7"/>
  <c r="C105" i="7"/>
  <c r="C106" i="7"/>
  <c r="C107" i="7"/>
  <c r="C17" i="7"/>
  <c r="C18" i="7"/>
  <c r="C19" i="7"/>
  <c r="C20" i="7"/>
  <c r="C21" i="7"/>
  <c r="C22" i="7"/>
  <c r="C23" i="7"/>
  <c r="C53" i="7"/>
  <c r="C54" i="7"/>
  <c r="C55" i="7"/>
  <c r="C28" i="7"/>
  <c r="C24" i="7"/>
  <c r="C109" i="7"/>
  <c r="C110" i="7"/>
  <c r="C111" i="7"/>
  <c r="C91" i="7"/>
  <c r="C69" i="7"/>
  <c r="C70" i="7"/>
  <c r="C75" i="7"/>
  <c r="C76" i="7"/>
  <c r="C11" i="7"/>
  <c r="C12" i="7"/>
  <c r="C13" i="7"/>
  <c r="C14" i="7"/>
  <c r="C15" i="7"/>
  <c r="C16" i="7"/>
  <c r="C56" i="7"/>
  <c r="C57" i="7"/>
  <c r="C58" i="7"/>
  <c r="C59" i="7"/>
  <c r="C60" i="7"/>
  <c r="C61" i="7"/>
  <c r="C62" i="7"/>
  <c r="C93" i="7"/>
  <c r="C94" i="7"/>
  <c r="C95" i="7"/>
  <c r="C96" i="7"/>
  <c r="C97" i="7"/>
  <c r="C98" i="7"/>
  <c r="C99" i="7"/>
  <c r="C71" i="7"/>
  <c r="C72" i="7"/>
  <c r="C73" i="7"/>
  <c r="C74" i="7"/>
  <c r="C92" i="7"/>
  <c r="C63" i="7"/>
  <c r="C64" i="7"/>
  <c r="C65" i="7"/>
  <c r="C66" i="7"/>
  <c r="C67" i="7"/>
  <c r="C68" i="7"/>
  <c r="C77" i="7"/>
  <c r="C78" i="7"/>
  <c r="C79" i="7"/>
  <c r="C80" i="7"/>
  <c r="C81" i="7"/>
  <c r="C82" i="7"/>
  <c r="C44" i="7"/>
  <c r="C45" i="7"/>
  <c r="C46" i="7"/>
  <c r="C47" i="7"/>
  <c r="C48" i="7"/>
  <c r="C49" i="7"/>
  <c r="C50" i="7"/>
  <c r="C51" i="7"/>
  <c r="C108" i="7"/>
  <c r="C100" i="7"/>
  <c r="C25" i="7"/>
  <c r="C26" i="7"/>
  <c r="C27" i="7"/>
  <c r="C31" i="7"/>
  <c r="C32" i="7"/>
  <c r="C33" i="7"/>
  <c r="C34" i="7"/>
  <c r="C35" i="7"/>
  <c r="C36" i="7"/>
  <c r="C37" i="7"/>
  <c r="C38" i="7"/>
  <c r="C39" i="7"/>
  <c r="C83" i="7"/>
  <c r="C84" i="7"/>
  <c r="C85" i="7"/>
  <c r="C86" i="7"/>
  <c r="C87" i="7"/>
  <c r="C88" i="7"/>
  <c r="C89" i="7"/>
  <c r="C90" i="7"/>
  <c r="C3" i="7"/>
  <c r="B4" i="7"/>
  <c r="B5" i="7"/>
  <c r="B30" i="7"/>
  <c r="B40" i="7"/>
  <c r="B41" i="7"/>
  <c r="B42" i="7"/>
  <c r="B43" i="7"/>
  <c r="B52" i="7"/>
  <c r="B6" i="7"/>
  <c r="B7" i="7"/>
  <c r="B8" i="7"/>
  <c r="B9" i="7"/>
  <c r="B10" i="7"/>
  <c r="B101" i="7"/>
  <c r="B102" i="7"/>
  <c r="B103" i="7"/>
  <c r="B104" i="7"/>
  <c r="B105" i="7"/>
  <c r="B106" i="7"/>
  <c r="B107" i="7"/>
  <c r="B17" i="7"/>
  <c r="B18" i="7"/>
  <c r="B19" i="7"/>
  <c r="B20" i="7"/>
  <c r="B21" i="7"/>
  <c r="B22" i="7"/>
  <c r="B23" i="7"/>
  <c r="B53" i="7"/>
  <c r="B54" i="7"/>
  <c r="B55" i="7"/>
  <c r="B28" i="7"/>
  <c r="B24" i="7"/>
  <c r="B109" i="7"/>
  <c r="B110" i="7"/>
  <c r="B111" i="7"/>
  <c r="B91" i="7"/>
  <c r="B69" i="7"/>
  <c r="B70" i="7"/>
  <c r="B75" i="7"/>
  <c r="B76" i="7"/>
  <c r="B11" i="7"/>
  <c r="B12" i="7"/>
  <c r="B13" i="7"/>
  <c r="B14" i="7"/>
  <c r="B15" i="7"/>
  <c r="B16" i="7"/>
  <c r="B56" i="7"/>
  <c r="B57" i="7"/>
  <c r="B58" i="7"/>
  <c r="B59" i="7"/>
  <c r="B60" i="7"/>
  <c r="B61" i="7"/>
  <c r="B62" i="7"/>
  <c r="B93" i="7"/>
  <c r="B94" i="7"/>
  <c r="B95" i="7"/>
  <c r="B96" i="7"/>
  <c r="B97" i="7"/>
  <c r="B98" i="7"/>
  <c r="B99" i="7"/>
  <c r="B71" i="7"/>
  <c r="B72" i="7"/>
  <c r="B73" i="7"/>
  <c r="B74" i="7"/>
  <c r="B92" i="7"/>
  <c r="B63" i="7"/>
  <c r="B64" i="7"/>
  <c r="B65" i="7"/>
  <c r="B66" i="7"/>
  <c r="B67" i="7"/>
  <c r="B68" i="7"/>
  <c r="B77" i="7"/>
  <c r="B78" i="7"/>
  <c r="B79" i="7"/>
  <c r="B80" i="7"/>
  <c r="B81" i="7"/>
  <c r="B82" i="7"/>
  <c r="B44" i="7"/>
  <c r="B45" i="7"/>
  <c r="B46" i="7"/>
  <c r="B47" i="7"/>
  <c r="B48" i="7"/>
  <c r="B49" i="7"/>
  <c r="B50" i="7"/>
  <c r="B51" i="7"/>
  <c r="B108" i="7"/>
  <c r="B100" i="7"/>
  <c r="B25" i="7"/>
  <c r="B26" i="7"/>
  <c r="B27" i="7"/>
  <c r="B31" i="7"/>
  <c r="B32" i="7"/>
  <c r="B33" i="7"/>
  <c r="B34" i="7"/>
  <c r="B35" i="7"/>
  <c r="B36" i="7"/>
  <c r="B37" i="7"/>
  <c r="B38" i="7"/>
  <c r="B39" i="7"/>
  <c r="B83" i="7"/>
  <c r="B84" i="7"/>
  <c r="B85" i="7"/>
  <c r="B86" i="7"/>
  <c r="B87" i="7"/>
  <c r="B88" i="7"/>
  <c r="B89" i="7"/>
  <c r="B90" i="7"/>
  <c r="B3" i="7"/>
  <c r="K2" i="7"/>
  <c r="E2" i="7"/>
  <c r="D2" i="7"/>
  <c r="C2" i="7"/>
  <c r="B2" i="7"/>
  <c r="N21" i="7" l="1"/>
  <c r="N17" i="7"/>
  <c r="T51" i="7"/>
  <c r="T47" i="7"/>
  <c r="T82" i="7"/>
  <c r="T77" i="7"/>
  <c r="T65" i="7"/>
  <c r="T74" i="7"/>
  <c r="T99" i="7"/>
  <c r="T95" i="7"/>
  <c r="T61" i="7"/>
  <c r="T57" i="7"/>
  <c r="T14" i="7"/>
  <c r="T76" i="7"/>
  <c r="T91" i="7"/>
  <c r="T24" i="7"/>
  <c r="T53" i="7"/>
  <c r="T20" i="7"/>
  <c r="T107" i="7"/>
  <c r="T103" i="7"/>
  <c r="T9" i="7"/>
  <c r="T52" i="7"/>
  <c r="T40" i="7"/>
  <c r="T4" i="7"/>
  <c r="T50" i="7"/>
  <c r="T46" i="7"/>
  <c r="T80" i="7"/>
  <c r="T68" i="7"/>
  <c r="T64" i="7"/>
  <c r="T73" i="7"/>
  <c r="T98" i="7"/>
  <c r="T94" i="7"/>
  <c r="T60" i="7"/>
  <c r="T56" i="7"/>
  <c r="T13" i="7"/>
  <c r="T75" i="7"/>
  <c r="T111" i="7"/>
  <c r="T28" i="7"/>
  <c r="T23" i="7"/>
  <c r="T19" i="7"/>
  <c r="T106" i="7"/>
  <c r="T102" i="7"/>
  <c r="T8" i="7"/>
  <c r="T43" i="7"/>
  <c r="T30" i="7"/>
  <c r="T84" i="7"/>
  <c r="T33" i="7"/>
  <c r="T27" i="7"/>
  <c r="T3" i="7"/>
  <c r="T83" i="7"/>
  <c r="T32" i="7"/>
  <c r="T90" i="7"/>
  <c r="T86" i="7"/>
  <c r="T39" i="7"/>
  <c r="T35" i="7"/>
  <c r="T31" i="7"/>
  <c r="T25" i="7"/>
  <c r="T49" i="7"/>
  <c r="T45" i="7"/>
  <c r="T79" i="7"/>
  <c r="T67" i="7"/>
  <c r="T63" i="7"/>
  <c r="T72" i="7"/>
  <c r="T97" i="7"/>
  <c r="T93" i="7"/>
  <c r="T59" i="7"/>
  <c r="T16" i="7"/>
  <c r="T12" i="7"/>
  <c r="T70" i="7"/>
  <c r="T110" i="7"/>
  <c r="T55" i="7"/>
  <c r="T22" i="7"/>
  <c r="T18" i="7"/>
  <c r="T105" i="7"/>
  <c r="T101" i="7"/>
  <c r="T7" i="7"/>
  <c r="T42" i="7"/>
  <c r="T88" i="7"/>
  <c r="T37" i="7"/>
  <c r="T87" i="7"/>
  <c r="T36" i="7"/>
  <c r="T26" i="7"/>
  <c r="T89" i="7"/>
  <c r="T85" i="7"/>
  <c r="T38" i="7"/>
  <c r="T34" i="7"/>
  <c r="T108" i="7"/>
  <c r="T48" i="7"/>
  <c r="T44" i="7"/>
  <c r="T78" i="7"/>
  <c r="T66" i="7"/>
  <c r="T92" i="7"/>
  <c r="T71" i="7"/>
  <c r="T96" i="7"/>
  <c r="T62" i="7"/>
  <c r="T58" i="7"/>
  <c r="T15" i="7"/>
  <c r="T11" i="7"/>
  <c r="T69" i="7"/>
  <c r="T109" i="7"/>
  <c r="T54" i="7"/>
  <c r="T21" i="7"/>
  <c r="T17" i="7"/>
  <c r="T104" i="7"/>
  <c r="T10" i="7"/>
  <c r="T6" i="7"/>
  <c r="T41" i="7"/>
  <c r="T5" i="7"/>
  <c r="L3" i="7"/>
  <c r="J3" i="7"/>
  <c r="J83" i="7"/>
  <c r="L83" i="7"/>
  <c r="J36" i="7"/>
  <c r="L36" i="7"/>
  <c r="J27" i="7"/>
  <c r="L27" i="7"/>
  <c r="J47" i="7"/>
  <c r="L47" i="7"/>
  <c r="J65" i="7"/>
  <c r="L65" i="7"/>
  <c r="J99" i="7"/>
  <c r="L99" i="7"/>
  <c r="J61" i="7"/>
  <c r="L61" i="7"/>
  <c r="J14" i="7"/>
  <c r="L14" i="7"/>
  <c r="J24" i="7"/>
  <c r="L24" i="7"/>
  <c r="J20" i="7"/>
  <c r="L20" i="7"/>
  <c r="J103" i="7"/>
  <c r="L103" i="7"/>
  <c r="J52" i="7"/>
  <c r="L52" i="7"/>
  <c r="J40" i="7"/>
  <c r="L40" i="7"/>
  <c r="J4" i="7"/>
  <c r="L4" i="7"/>
  <c r="J90" i="7"/>
  <c r="L90" i="7"/>
  <c r="J35" i="7"/>
  <c r="L35" i="7"/>
  <c r="J31" i="7"/>
  <c r="L31" i="7"/>
  <c r="J50" i="7"/>
  <c r="L50" i="7"/>
  <c r="J80" i="7"/>
  <c r="L80" i="7"/>
  <c r="J64" i="7"/>
  <c r="L64" i="7"/>
  <c r="J73" i="7"/>
  <c r="L73" i="7"/>
  <c r="J94" i="7"/>
  <c r="L94" i="7"/>
  <c r="J56" i="7"/>
  <c r="L56" i="7"/>
  <c r="J111" i="7"/>
  <c r="L111" i="7"/>
  <c r="J23" i="7"/>
  <c r="L23" i="7"/>
  <c r="J106" i="7"/>
  <c r="L106" i="7"/>
  <c r="J8" i="7"/>
  <c r="L8" i="7"/>
  <c r="J30" i="7"/>
  <c r="L30" i="7"/>
  <c r="J89" i="7"/>
  <c r="L89" i="7"/>
  <c r="J85" i="7"/>
  <c r="L85" i="7"/>
  <c r="J38" i="7"/>
  <c r="L38" i="7"/>
  <c r="J34" i="7"/>
  <c r="L34" i="7"/>
  <c r="J25" i="7"/>
  <c r="L25" i="7"/>
  <c r="J49" i="7"/>
  <c r="L49" i="7"/>
  <c r="J45" i="7"/>
  <c r="L45" i="7"/>
  <c r="J79" i="7"/>
  <c r="L79" i="7"/>
  <c r="J67" i="7"/>
  <c r="L67" i="7"/>
  <c r="J63" i="7"/>
  <c r="L63" i="7"/>
  <c r="J72" i="7"/>
  <c r="L72" i="7"/>
  <c r="J97" i="7"/>
  <c r="L97" i="7"/>
  <c r="J93" i="7"/>
  <c r="L93" i="7"/>
  <c r="J59" i="7"/>
  <c r="L59" i="7"/>
  <c r="J16" i="7"/>
  <c r="L16" i="7"/>
  <c r="J12" i="7"/>
  <c r="L12" i="7"/>
  <c r="J70" i="7"/>
  <c r="L70" i="7"/>
  <c r="J110" i="7"/>
  <c r="L110" i="7"/>
  <c r="J55" i="7"/>
  <c r="L55" i="7"/>
  <c r="J22" i="7"/>
  <c r="L22" i="7"/>
  <c r="J18" i="7"/>
  <c r="L18" i="7"/>
  <c r="J105" i="7"/>
  <c r="L105" i="7"/>
  <c r="J101" i="7"/>
  <c r="L101" i="7"/>
  <c r="J7" i="7"/>
  <c r="L7" i="7"/>
  <c r="J42" i="7"/>
  <c r="L42" i="7"/>
  <c r="J87" i="7"/>
  <c r="L87" i="7"/>
  <c r="J32" i="7"/>
  <c r="L32" i="7"/>
  <c r="J51" i="7"/>
  <c r="L51" i="7"/>
  <c r="J82" i="7"/>
  <c r="L82" i="7"/>
  <c r="J77" i="7"/>
  <c r="L77" i="7"/>
  <c r="J74" i="7"/>
  <c r="L74" i="7"/>
  <c r="J95" i="7"/>
  <c r="L95" i="7"/>
  <c r="J57" i="7"/>
  <c r="L57" i="7"/>
  <c r="J76" i="7"/>
  <c r="L76" i="7"/>
  <c r="J91" i="7"/>
  <c r="L91" i="7"/>
  <c r="J53" i="7"/>
  <c r="L53" i="7"/>
  <c r="J107" i="7"/>
  <c r="L107" i="7"/>
  <c r="J9" i="7"/>
  <c r="L9" i="7"/>
  <c r="J86" i="7"/>
  <c r="L86" i="7"/>
  <c r="J39" i="7"/>
  <c r="L39" i="7"/>
  <c r="J26" i="7"/>
  <c r="L26" i="7"/>
  <c r="J46" i="7"/>
  <c r="L46" i="7"/>
  <c r="J68" i="7"/>
  <c r="L68" i="7"/>
  <c r="J98" i="7"/>
  <c r="L98" i="7"/>
  <c r="J60" i="7"/>
  <c r="L60" i="7"/>
  <c r="J13" i="7"/>
  <c r="L13" i="7"/>
  <c r="J75" i="7"/>
  <c r="L75" i="7"/>
  <c r="J28" i="7"/>
  <c r="L28" i="7"/>
  <c r="J19" i="7"/>
  <c r="L19" i="7"/>
  <c r="J102" i="7"/>
  <c r="L102" i="7"/>
  <c r="J43" i="7"/>
  <c r="L43" i="7"/>
  <c r="J88" i="7"/>
  <c r="L88" i="7"/>
  <c r="J84" i="7"/>
  <c r="L84" i="7"/>
  <c r="J37" i="7"/>
  <c r="L37" i="7"/>
  <c r="J33" i="7"/>
  <c r="L33" i="7"/>
  <c r="J108" i="7"/>
  <c r="L108" i="7"/>
  <c r="J48" i="7"/>
  <c r="L48" i="7"/>
  <c r="J44" i="7"/>
  <c r="L44" i="7"/>
  <c r="J78" i="7"/>
  <c r="L78" i="7"/>
  <c r="J66" i="7"/>
  <c r="L66" i="7"/>
  <c r="J92" i="7"/>
  <c r="L92" i="7"/>
  <c r="J71" i="7"/>
  <c r="L71" i="7"/>
  <c r="J96" i="7"/>
  <c r="L96" i="7"/>
  <c r="J62" i="7"/>
  <c r="L62" i="7"/>
  <c r="J58" i="7"/>
  <c r="L58" i="7"/>
  <c r="J15" i="7"/>
  <c r="L15" i="7"/>
  <c r="J11" i="7"/>
  <c r="L11" i="7"/>
  <c r="J69" i="7"/>
  <c r="L69" i="7"/>
  <c r="J109" i="7"/>
  <c r="L109" i="7"/>
  <c r="J54" i="7"/>
  <c r="L54" i="7"/>
  <c r="J21" i="7"/>
  <c r="L21" i="7"/>
  <c r="J17" i="7"/>
  <c r="L17" i="7"/>
  <c r="J104" i="7"/>
  <c r="L104" i="7"/>
  <c r="J10" i="7"/>
  <c r="L10" i="7"/>
  <c r="J6" i="7"/>
  <c r="L6" i="7"/>
  <c r="J41" i="7"/>
  <c r="L41" i="7"/>
  <c r="J5" i="7"/>
  <c r="L5" i="7"/>
  <c r="P3" i="7"/>
  <c r="Q3" i="7" s="1"/>
  <c r="AB3" i="7" s="1"/>
  <c r="P27" i="7"/>
  <c r="Q27" i="7" s="1"/>
  <c r="AB27" i="7" s="1"/>
  <c r="P22" i="7"/>
  <c r="Q22" i="7" s="1"/>
  <c r="AB22" i="7" s="1"/>
  <c r="P18" i="7"/>
  <c r="Q18" i="7" s="1"/>
  <c r="AB18" i="7" s="1"/>
  <c r="P21" i="7"/>
  <c r="Q21" i="7" s="1"/>
  <c r="AB21" i="7" s="1"/>
  <c r="P17" i="7"/>
  <c r="Q17" i="7" s="1"/>
  <c r="AB17" i="7" s="1"/>
  <c r="P20" i="7"/>
  <c r="Q20" i="7" s="1"/>
  <c r="AB20" i="7" s="1"/>
  <c r="P56" i="7"/>
  <c r="Q56" i="7" s="1"/>
  <c r="AB56" i="7" s="1"/>
  <c r="P23" i="7"/>
  <c r="Q23" i="7" s="1"/>
  <c r="AB23" i="7" s="1"/>
  <c r="P19" i="7"/>
  <c r="Q19" i="7" s="1"/>
  <c r="AB19" i="7" s="1"/>
  <c r="N56" i="7"/>
  <c r="N23" i="7"/>
  <c r="N19" i="7"/>
  <c r="V20" i="7"/>
  <c r="N20" i="7"/>
  <c r="N3" i="7"/>
  <c r="N27" i="7"/>
  <c r="V27" i="7"/>
  <c r="N22" i="7"/>
  <c r="V22" i="7"/>
  <c r="N18" i="7"/>
  <c r="V3" i="7"/>
  <c r="V18" i="7"/>
  <c r="V21" i="7"/>
  <c r="V17" i="7"/>
  <c r="V56" i="7"/>
  <c r="V23" i="7"/>
  <c r="V19" i="7"/>
  <c r="AB120" i="6"/>
  <c r="AF27" i="6"/>
  <c r="AF28" i="6"/>
  <c r="AF29" i="6"/>
  <c r="AF30" i="6"/>
  <c r="AF31" i="6"/>
  <c r="AF32" i="6"/>
  <c r="AF33" i="6"/>
  <c r="AF53" i="6"/>
  <c r="AD113" i="6"/>
  <c r="AD114" i="6"/>
  <c r="AD115" i="6"/>
  <c r="AD116" i="6"/>
  <c r="AD117" i="6"/>
  <c r="AD118" i="6"/>
  <c r="AD119" i="6"/>
  <c r="AD112" i="6"/>
  <c r="AD109" i="6"/>
  <c r="AD110" i="6"/>
  <c r="AD111" i="6"/>
  <c r="AD108" i="6"/>
  <c r="AD100" i="6"/>
  <c r="AD101" i="6"/>
  <c r="AD102" i="6"/>
  <c r="AD103" i="6"/>
  <c r="AD104" i="6"/>
  <c r="AD105" i="6"/>
  <c r="AD106" i="6"/>
  <c r="AD107" i="6"/>
  <c r="AD99" i="6"/>
  <c r="AD98" i="6"/>
  <c r="AD97" i="6"/>
  <c r="AD95" i="6"/>
  <c r="AD94" i="6"/>
  <c r="AD93" i="6"/>
  <c r="M100" i="7" s="1"/>
  <c r="N100" i="7" s="1"/>
  <c r="AD92" i="6"/>
  <c r="AD90" i="6"/>
  <c r="AD91" i="6"/>
  <c r="AD85" i="6"/>
  <c r="AD86" i="6"/>
  <c r="AD87" i="6"/>
  <c r="AD88" i="6"/>
  <c r="AD89" i="6"/>
  <c r="AD84" i="6"/>
  <c r="AD79" i="6"/>
  <c r="AD80" i="6"/>
  <c r="AD81" i="6"/>
  <c r="AD82" i="6"/>
  <c r="M81" i="7" s="1"/>
  <c r="AD83" i="6"/>
  <c r="AD78" i="6"/>
  <c r="AD73" i="6"/>
  <c r="AD74" i="6"/>
  <c r="AD75" i="6"/>
  <c r="AD76" i="6"/>
  <c r="AD77" i="6"/>
  <c r="AD72" i="6"/>
  <c r="AD71" i="6"/>
  <c r="AD68" i="6"/>
  <c r="AD69" i="6"/>
  <c r="AD70" i="6"/>
  <c r="AD67" i="6"/>
  <c r="AD66" i="6"/>
  <c r="AD62" i="6"/>
  <c r="AD63" i="6"/>
  <c r="AD64" i="6"/>
  <c r="AD65" i="6"/>
  <c r="AD61" i="6"/>
  <c r="AD60" i="6"/>
  <c r="AD55" i="6"/>
  <c r="AD56" i="6"/>
  <c r="AD57" i="6"/>
  <c r="AD58" i="6"/>
  <c r="AD59" i="6"/>
  <c r="AD54" i="6"/>
  <c r="AD52" i="6"/>
  <c r="AD48" i="6"/>
  <c r="AD49" i="6"/>
  <c r="AD50" i="6"/>
  <c r="AD51" i="6"/>
  <c r="AD47" i="6"/>
  <c r="AD46" i="6"/>
  <c r="AD45" i="6"/>
  <c r="AD44" i="6"/>
  <c r="AD43" i="6"/>
  <c r="AD40" i="6"/>
  <c r="AD41" i="6"/>
  <c r="AD42" i="6"/>
  <c r="AD39" i="6"/>
  <c r="AD38" i="6"/>
  <c r="AD37" i="6"/>
  <c r="AD35" i="6"/>
  <c r="AD36" i="6"/>
  <c r="AD34" i="6"/>
  <c r="AE28" i="6"/>
  <c r="AE29" i="6"/>
  <c r="AE30" i="6"/>
  <c r="AE31" i="6"/>
  <c r="AE32" i="6"/>
  <c r="AE33" i="6"/>
  <c r="AE27" i="6"/>
  <c r="AD21" i="6"/>
  <c r="AD22" i="6"/>
  <c r="AD23" i="6"/>
  <c r="AD24" i="6"/>
  <c r="AD25" i="6"/>
  <c r="AD26" i="6"/>
  <c r="AD20" i="6"/>
  <c r="AD15" i="6"/>
  <c r="AD16" i="6"/>
  <c r="AD17" i="6"/>
  <c r="AD18" i="6"/>
  <c r="AD19" i="6"/>
  <c r="AD14" i="6"/>
  <c r="AD10" i="6"/>
  <c r="AD11" i="6"/>
  <c r="AD12" i="6"/>
  <c r="AD13" i="6"/>
  <c r="AD8" i="6"/>
  <c r="AD9" i="6"/>
  <c r="X5" i="6"/>
  <c r="AD6" i="6"/>
  <c r="AD7" i="6"/>
  <c r="AA6" i="6"/>
  <c r="AA7" i="6"/>
  <c r="AA8" i="6"/>
  <c r="AA9" i="6"/>
  <c r="AA10" i="6"/>
  <c r="AA11" i="6"/>
  <c r="AA12" i="6"/>
  <c r="AA13" i="6"/>
  <c r="AA14" i="6"/>
  <c r="AA15" i="6"/>
  <c r="AA16" i="6"/>
  <c r="AA17" i="6"/>
  <c r="AA18" i="6"/>
  <c r="AA19" i="6"/>
  <c r="AA20" i="6"/>
  <c r="AA21" i="6"/>
  <c r="AA22" i="6"/>
  <c r="AA23" i="6"/>
  <c r="AA24" i="6"/>
  <c r="AA25" i="6"/>
  <c r="AA26" i="6"/>
  <c r="AA27" i="6"/>
  <c r="AA28" i="6"/>
  <c r="AA29" i="6"/>
  <c r="AA30" i="6"/>
  <c r="AA31" i="6"/>
  <c r="AA32" i="6"/>
  <c r="AA33" i="6"/>
  <c r="AA34" i="6"/>
  <c r="AA35" i="6"/>
  <c r="AA36" i="6"/>
  <c r="AA37" i="6"/>
  <c r="AA38" i="6"/>
  <c r="AA39" i="6"/>
  <c r="AA40" i="6"/>
  <c r="AA41" i="6"/>
  <c r="AA42" i="6"/>
  <c r="AA43" i="6"/>
  <c r="AA44" i="6"/>
  <c r="AA45" i="6"/>
  <c r="AA46" i="6"/>
  <c r="AA53" i="6"/>
  <c r="AA54" i="6"/>
  <c r="AA55" i="6"/>
  <c r="AA56" i="6"/>
  <c r="AA57" i="6"/>
  <c r="AA58" i="6"/>
  <c r="AA59" i="6"/>
  <c r="AA60" i="6"/>
  <c r="AA67" i="6"/>
  <c r="AA68" i="6"/>
  <c r="AA69" i="6"/>
  <c r="AA70" i="6"/>
  <c r="AA71" i="6"/>
  <c r="AA72" i="6"/>
  <c r="AA73" i="6"/>
  <c r="AA74" i="6"/>
  <c r="AA75" i="6"/>
  <c r="AA76" i="6"/>
  <c r="AA77" i="6"/>
  <c r="AA78" i="6"/>
  <c r="AA79" i="6"/>
  <c r="AA80" i="6"/>
  <c r="AA81" i="6"/>
  <c r="AA82" i="6"/>
  <c r="AA83" i="6"/>
  <c r="AA84" i="6"/>
  <c r="AA85" i="6"/>
  <c r="AA86" i="6"/>
  <c r="AA87" i="6"/>
  <c r="AA88" i="6"/>
  <c r="AA89" i="6"/>
  <c r="AA90" i="6"/>
  <c r="AA91" i="6"/>
  <c r="AA92" i="6"/>
  <c r="AA93" i="6"/>
  <c r="AA94" i="6"/>
  <c r="AA95" i="6"/>
  <c r="AA96" i="6"/>
  <c r="AA97" i="6"/>
  <c r="AA98" i="6"/>
  <c r="AA99" i="6"/>
  <c r="AA100" i="6"/>
  <c r="AA101" i="6"/>
  <c r="AA102" i="6"/>
  <c r="AA103" i="6"/>
  <c r="AA104" i="6"/>
  <c r="AA105" i="6"/>
  <c r="AA106" i="6"/>
  <c r="AA107" i="6"/>
  <c r="AA108" i="6"/>
  <c r="AA109" i="6"/>
  <c r="AA110" i="6"/>
  <c r="AA111" i="6"/>
  <c r="AA112" i="6"/>
  <c r="AA113" i="6"/>
  <c r="AA114" i="6"/>
  <c r="AA115" i="6"/>
  <c r="AA116" i="6"/>
  <c r="AA117" i="6"/>
  <c r="AA118" i="6"/>
  <c r="AA119" i="6"/>
  <c r="AA5" i="6"/>
  <c r="AC6" i="6"/>
  <c r="AC7" i="6"/>
  <c r="AC8" i="6"/>
  <c r="AC9" i="6"/>
  <c r="AC14" i="6"/>
  <c r="AC15" i="6"/>
  <c r="AC16" i="6"/>
  <c r="AC17" i="6"/>
  <c r="AC18" i="6"/>
  <c r="AC19" i="6"/>
  <c r="AC20" i="6"/>
  <c r="AC21" i="6"/>
  <c r="AC22" i="6"/>
  <c r="AC23" i="6"/>
  <c r="AC24" i="6"/>
  <c r="AC25" i="6"/>
  <c r="AC26" i="6"/>
  <c r="AC27" i="6"/>
  <c r="AC28" i="6"/>
  <c r="AC29" i="6"/>
  <c r="AC30" i="6"/>
  <c r="AC31" i="6"/>
  <c r="AC32" i="6"/>
  <c r="AC33" i="6"/>
  <c r="AC34" i="6"/>
  <c r="AC35" i="6"/>
  <c r="AC36" i="6"/>
  <c r="AC37" i="6"/>
  <c r="AC38" i="6"/>
  <c r="AC39" i="6"/>
  <c r="AC40" i="6"/>
  <c r="AC41" i="6"/>
  <c r="AC42" i="6"/>
  <c r="AC43" i="6"/>
  <c r="AC44" i="6"/>
  <c r="AC45" i="6"/>
  <c r="AC46" i="6"/>
  <c r="AC47" i="6"/>
  <c r="AC48" i="6"/>
  <c r="AC49" i="6"/>
  <c r="AC50" i="6"/>
  <c r="AC51" i="6"/>
  <c r="AC52" i="6"/>
  <c r="AC53" i="6"/>
  <c r="AC54" i="6"/>
  <c r="AC55" i="6"/>
  <c r="AC56" i="6"/>
  <c r="AC57" i="6"/>
  <c r="AC58" i="6"/>
  <c r="AC59" i="6"/>
  <c r="AC60" i="6"/>
  <c r="AC61" i="6"/>
  <c r="AC62" i="6"/>
  <c r="AC63" i="6"/>
  <c r="AC64" i="6"/>
  <c r="AC65" i="6"/>
  <c r="AC66" i="6"/>
  <c r="AC67" i="6"/>
  <c r="AC68" i="6"/>
  <c r="AC69" i="6"/>
  <c r="AC70" i="6"/>
  <c r="AC71" i="6"/>
  <c r="AC72" i="6"/>
  <c r="AC73" i="6"/>
  <c r="AC74" i="6"/>
  <c r="AC75" i="6"/>
  <c r="AC76" i="6"/>
  <c r="AC77" i="6"/>
  <c r="AC78" i="6"/>
  <c r="AC79" i="6"/>
  <c r="AC80" i="6"/>
  <c r="AC81" i="6"/>
  <c r="AC82" i="6"/>
  <c r="AC83" i="6"/>
  <c r="AC84" i="6"/>
  <c r="AC85" i="6"/>
  <c r="AC86" i="6"/>
  <c r="AC87" i="6"/>
  <c r="AC88" i="6"/>
  <c r="AC89" i="6"/>
  <c r="AC90" i="6"/>
  <c r="AC91" i="6"/>
  <c r="AC92" i="6"/>
  <c r="AC93" i="6"/>
  <c r="AC94" i="6"/>
  <c r="AC95" i="6"/>
  <c r="AC96" i="6"/>
  <c r="AC97" i="6"/>
  <c r="AC98" i="6"/>
  <c r="AC99" i="6"/>
  <c r="AC100" i="6"/>
  <c r="AC101" i="6"/>
  <c r="AC102" i="6"/>
  <c r="AC103" i="6"/>
  <c r="AC104" i="6"/>
  <c r="AC105" i="6"/>
  <c r="AC106" i="6"/>
  <c r="AC107" i="6"/>
  <c r="AC108" i="6"/>
  <c r="AC109" i="6"/>
  <c r="AC110" i="6"/>
  <c r="AC111" i="6"/>
  <c r="AC112" i="6"/>
  <c r="AC113" i="6"/>
  <c r="AC114" i="6"/>
  <c r="AC115" i="6"/>
  <c r="AC116" i="6"/>
  <c r="AC117" i="6"/>
  <c r="AC118" i="6"/>
  <c r="AC119" i="6"/>
  <c r="AC5" i="6"/>
  <c r="F124" i="7" l="1"/>
  <c r="F128" i="7"/>
  <c r="F127" i="7"/>
  <c r="F126" i="7"/>
  <c r="F125" i="7"/>
  <c r="F129" i="7"/>
  <c r="R3" i="7"/>
  <c r="AF19" i="6"/>
  <c r="M10" i="7"/>
  <c r="AF39" i="6"/>
  <c r="M109" i="7"/>
  <c r="AF58" i="6"/>
  <c r="M61" i="7"/>
  <c r="N81" i="7"/>
  <c r="AF86" i="6"/>
  <c r="M46" i="7"/>
  <c r="AF97" i="6"/>
  <c r="AF106" i="6"/>
  <c r="M38" i="7"/>
  <c r="AF111" i="6"/>
  <c r="AF119" i="6"/>
  <c r="M90" i="7"/>
  <c r="AF115" i="6"/>
  <c r="M86" i="7"/>
  <c r="AF6" i="6"/>
  <c r="M4" i="7"/>
  <c r="AF13" i="6"/>
  <c r="M43" i="7"/>
  <c r="AF14" i="6"/>
  <c r="M52" i="7"/>
  <c r="AF16" i="6"/>
  <c r="M7" i="7"/>
  <c r="AF25" i="6"/>
  <c r="M106" i="7"/>
  <c r="AF21" i="6"/>
  <c r="M102" i="7"/>
  <c r="AF34" i="6"/>
  <c r="M53" i="7"/>
  <c r="AF38" i="6"/>
  <c r="M24" i="7"/>
  <c r="AF40" i="6"/>
  <c r="M110" i="7"/>
  <c r="AF46" i="6"/>
  <c r="M76" i="7"/>
  <c r="AF49" i="6"/>
  <c r="M13" i="7"/>
  <c r="AF59" i="6"/>
  <c r="M62" i="7"/>
  <c r="AF55" i="6"/>
  <c r="M58" i="7"/>
  <c r="AF64" i="6"/>
  <c r="M97" i="7"/>
  <c r="AF67" i="6"/>
  <c r="M71" i="7"/>
  <c r="AF71" i="6"/>
  <c r="M92" i="7"/>
  <c r="AF75" i="6"/>
  <c r="M66" i="7"/>
  <c r="AF83" i="6"/>
  <c r="M82" i="7"/>
  <c r="AF79" i="6"/>
  <c r="M78" i="7"/>
  <c r="AF87" i="6"/>
  <c r="M47" i="7"/>
  <c r="AF90" i="6"/>
  <c r="M50" i="7"/>
  <c r="AF95" i="6"/>
  <c r="M26" i="7"/>
  <c r="AF107" i="6"/>
  <c r="M39" i="7"/>
  <c r="AF103" i="6"/>
  <c r="M35" i="7"/>
  <c r="AF108" i="6"/>
  <c r="AF112" i="6"/>
  <c r="M83" i="7"/>
  <c r="AF116" i="6"/>
  <c r="M87" i="7"/>
  <c r="AF12" i="6"/>
  <c r="M42" i="7"/>
  <c r="AF15" i="6"/>
  <c r="M6" i="7"/>
  <c r="AF24" i="6"/>
  <c r="M105" i="7"/>
  <c r="AF36" i="6"/>
  <c r="M55" i="7"/>
  <c r="AF43" i="6"/>
  <c r="M69" i="7"/>
  <c r="AF47" i="6"/>
  <c r="M11" i="7"/>
  <c r="AF48" i="6"/>
  <c r="M12" i="7"/>
  <c r="AF60" i="6"/>
  <c r="M93" i="7"/>
  <c r="AF63" i="6"/>
  <c r="M96" i="7"/>
  <c r="AF70" i="6"/>
  <c r="M74" i="7"/>
  <c r="AF72" i="6"/>
  <c r="M63" i="7"/>
  <c r="AF74" i="6"/>
  <c r="M65" i="7"/>
  <c r="AF84" i="6"/>
  <c r="M44" i="7"/>
  <c r="AF92" i="6"/>
  <c r="M108" i="7"/>
  <c r="AF102" i="6"/>
  <c r="M34" i="7"/>
  <c r="AF9" i="6"/>
  <c r="M30" i="7"/>
  <c r="AF11" i="6"/>
  <c r="M41" i="7"/>
  <c r="AF18" i="6"/>
  <c r="M9" i="7"/>
  <c r="AF20" i="6"/>
  <c r="M101" i="7"/>
  <c r="AF23" i="6"/>
  <c r="M104" i="7"/>
  <c r="AF35" i="6"/>
  <c r="M54" i="7"/>
  <c r="AF42" i="6"/>
  <c r="M91" i="7"/>
  <c r="AF44" i="6"/>
  <c r="M70" i="7"/>
  <c r="AF51" i="6"/>
  <c r="M15" i="7"/>
  <c r="AF52" i="6"/>
  <c r="M16" i="7"/>
  <c r="AF57" i="6"/>
  <c r="M60" i="7"/>
  <c r="AF61" i="6"/>
  <c r="M94" i="7"/>
  <c r="AF62" i="6"/>
  <c r="M95" i="7"/>
  <c r="AF69" i="6"/>
  <c r="M73" i="7"/>
  <c r="AF77" i="6"/>
  <c r="M68" i="7"/>
  <c r="AF73" i="6"/>
  <c r="M64" i="7"/>
  <c r="AF81" i="6"/>
  <c r="M80" i="7"/>
  <c r="AF89" i="6"/>
  <c r="M49" i="7"/>
  <c r="AF85" i="6"/>
  <c r="M45" i="7"/>
  <c r="AF98" i="6"/>
  <c r="AF105" i="6"/>
  <c r="M37" i="7"/>
  <c r="AF101" i="6"/>
  <c r="M33" i="7"/>
  <c r="AF110" i="6"/>
  <c r="AF118" i="6"/>
  <c r="M89" i="7"/>
  <c r="AF114" i="6"/>
  <c r="M85" i="7"/>
  <c r="AF7" i="6"/>
  <c r="M5" i="7"/>
  <c r="AF8" i="6"/>
  <c r="AF10" i="6"/>
  <c r="M40" i="7"/>
  <c r="AF17" i="6"/>
  <c r="M8" i="7"/>
  <c r="AF26" i="6"/>
  <c r="M107" i="7"/>
  <c r="AF22" i="6"/>
  <c r="M103" i="7"/>
  <c r="AF37" i="6"/>
  <c r="M28" i="7"/>
  <c r="AF41" i="6"/>
  <c r="M111" i="7"/>
  <c r="AF45" i="6"/>
  <c r="M75" i="7"/>
  <c r="AF50" i="6"/>
  <c r="M14" i="7"/>
  <c r="AF54" i="6"/>
  <c r="M57" i="7"/>
  <c r="AF56" i="6"/>
  <c r="M59" i="7"/>
  <c r="AF65" i="6"/>
  <c r="M98" i="7"/>
  <c r="AF66" i="6"/>
  <c r="M99" i="7"/>
  <c r="AF68" i="6"/>
  <c r="M72" i="7"/>
  <c r="AF76" i="6"/>
  <c r="M67" i="7"/>
  <c r="AF78" i="6"/>
  <c r="M77" i="7"/>
  <c r="AF80" i="6"/>
  <c r="M79" i="7"/>
  <c r="AF88" i="6"/>
  <c r="M48" i="7"/>
  <c r="AF91" i="6"/>
  <c r="M51" i="7"/>
  <c r="AF94" i="6"/>
  <c r="M25" i="7"/>
  <c r="AF99" i="6"/>
  <c r="M31" i="7"/>
  <c r="AF104" i="6"/>
  <c r="M36" i="7"/>
  <c r="AF100" i="6"/>
  <c r="M32" i="7"/>
  <c r="AF109" i="6"/>
  <c r="AF117" i="6"/>
  <c r="M88" i="7"/>
  <c r="AF113" i="6"/>
  <c r="M84" i="7"/>
  <c r="R17" i="7"/>
  <c r="R19" i="7"/>
  <c r="R23" i="7"/>
  <c r="R18" i="7"/>
  <c r="R27" i="7"/>
  <c r="R20" i="7"/>
  <c r="R56" i="7"/>
  <c r="R21" i="7"/>
  <c r="R22" i="7"/>
  <c r="AD120" i="6"/>
  <c r="AF5" i="6"/>
  <c r="T47" i="6"/>
  <c r="Z47" i="6" s="1"/>
  <c r="AA47" i="6" s="1"/>
  <c r="T44" i="6"/>
  <c r="P31" i="7" l="1"/>
  <c r="Q31" i="7" s="1"/>
  <c r="V31" i="7"/>
  <c r="N31" i="7"/>
  <c r="P79" i="7"/>
  <c r="Q79" i="7" s="1"/>
  <c r="N79" i="7"/>
  <c r="V79" i="7"/>
  <c r="P59" i="7"/>
  <c r="Q59" i="7" s="1"/>
  <c r="V59" i="7"/>
  <c r="N59" i="7"/>
  <c r="P111" i="7"/>
  <c r="Q111" i="7" s="1"/>
  <c r="N111" i="7"/>
  <c r="V111" i="7"/>
  <c r="V80" i="7"/>
  <c r="P80" i="7"/>
  <c r="Q80" i="7" s="1"/>
  <c r="N80" i="7"/>
  <c r="V95" i="7"/>
  <c r="P95" i="7"/>
  <c r="Q95" i="7" s="1"/>
  <c r="N95" i="7"/>
  <c r="V91" i="7"/>
  <c r="P91" i="7"/>
  <c r="Q91" i="7" s="1"/>
  <c r="N91" i="7"/>
  <c r="N30" i="7"/>
  <c r="V30" i="7"/>
  <c r="P30" i="7"/>
  <c r="Q30" i="7" s="1"/>
  <c r="AB30" i="7" s="1"/>
  <c r="P55" i="7"/>
  <c r="Q55" i="7" s="1"/>
  <c r="N55" i="7"/>
  <c r="V55" i="7"/>
  <c r="N90" i="7"/>
  <c r="P90" i="7"/>
  <c r="Q90" i="7" s="1"/>
  <c r="AB90" i="7" s="1"/>
  <c r="V90" i="7"/>
  <c r="P89" i="7"/>
  <c r="Q89" i="7" s="1"/>
  <c r="N89" i="7"/>
  <c r="V89" i="7"/>
  <c r="P33" i="7"/>
  <c r="Q33" i="7" s="1"/>
  <c r="N33" i="7"/>
  <c r="V33" i="7"/>
  <c r="N49" i="7"/>
  <c r="P49" i="7"/>
  <c r="Q49" i="7" s="1"/>
  <c r="V49" i="7"/>
  <c r="N64" i="7"/>
  <c r="P64" i="7"/>
  <c r="Q64" i="7" s="1"/>
  <c r="V64" i="7"/>
  <c r="N73" i="7"/>
  <c r="P73" i="7"/>
  <c r="Q73" i="7" s="1"/>
  <c r="V73" i="7"/>
  <c r="P94" i="7"/>
  <c r="Q94" i="7" s="1"/>
  <c r="N94" i="7"/>
  <c r="V94" i="7"/>
  <c r="V16" i="7"/>
  <c r="N16" i="7"/>
  <c r="P16" i="7"/>
  <c r="Q16" i="7" s="1"/>
  <c r="P70" i="7"/>
  <c r="Q70" i="7" s="1"/>
  <c r="N70" i="7"/>
  <c r="V70" i="7"/>
  <c r="P54" i="7"/>
  <c r="Q54" i="7" s="1"/>
  <c r="AB54" i="7" s="1"/>
  <c r="N54" i="7"/>
  <c r="V54" i="7"/>
  <c r="V101" i="7"/>
  <c r="P101" i="7"/>
  <c r="Q101" i="7" s="1"/>
  <c r="N101" i="7"/>
  <c r="V41" i="7"/>
  <c r="N41" i="7"/>
  <c r="P41" i="7"/>
  <c r="Q41" i="7" s="1"/>
  <c r="P34" i="7"/>
  <c r="Q34" i="7" s="1"/>
  <c r="N34" i="7"/>
  <c r="V34" i="7"/>
  <c r="P44" i="7"/>
  <c r="Q44" i="7" s="1"/>
  <c r="V44" i="7"/>
  <c r="N44" i="7"/>
  <c r="V63" i="7"/>
  <c r="N63" i="7"/>
  <c r="P63" i="7"/>
  <c r="Q63" i="7" s="1"/>
  <c r="N96" i="7"/>
  <c r="V96" i="7"/>
  <c r="P96" i="7"/>
  <c r="Q96" i="7" s="1"/>
  <c r="P12" i="7"/>
  <c r="Q12" i="7" s="1"/>
  <c r="V12" i="7"/>
  <c r="N12" i="7"/>
  <c r="N69" i="7"/>
  <c r="P69" i="7"/>
  <c r="Q69" i="7" s="1"/>
  <c r="V69" i="7"/>
  <c r="P105" i="7"/>
  <c r="Q105" i="7" s="1"/>
  <c r="N105" i="7"/>
  <c r="V105" i="7"/>
  <c r="P42" i="7"/>
  <c r="Q42" i="7" s="1"/>
  <c r="V42" i="7"/>
  <c r="N42" i="7"/>
  <c r="P83" i="7"/>
  <c r="Q83" i="7" s="1"/>
  <c r="V83" i="7"/>
  <c r="N83" i="7"/>
  <c r="N35" i="7"/>
  <c r="P35" i="7"/>
  <c r="Q35" i="7" s="1"/>
  <c r="V35" i="7"/>
  <c r="N26" i="7"/>
  <c r="P26" i="7"/>
  <c r="Q26" i="7" s="1"/>
  <c r="V26" i="7"/>
  <c r="V47" i="7"/>
  <c r="N47" i="7"/>
  <c r="P47" i="7"/>
  <c r="Q47" i="7" s="1"/>
  <c r="P82" i="7"/>
  <c r="Q82" i="7" s="1"/>
  <c r="AB82" i="7" s="1"/>
  <c r="N82" i="7"/>
  <c r="V82" i="7"/>
  <c r="N92" i="7"/>
  <c r="P92" i="7"/>
  <c r="Q92" i="7" s="1"/>
  <c r="V92" i="7"/>
  <c r="P97" i="7"/>
  <c r="Q97" i="7" s="1"/>
  <c r="N97" i="7"/>
  <c r="V97" i="7"/>
  <c r="N62" i="7"/>
  <c r="V62" i="7"/>
  <c r="P62" i="7"/>
  <c r="Q62" i="7" s="1"/>
  <c r="AB62" i="7" s="1"/>
  <c r="P76" i="7"/>
  <c r="Q76" i="7" s="1"/>
  <c r="V76" i="7"/>
  <c r="N76" i="7"/>
  <c r="P24" i="7"/>
  <c r="Q24" i="7" s="1"/>
  <c r="N24" i="7"/>
  <c r="V24" i="7"/>
  <c r="N102" i="7"/>
  <c r="P102" i="7"/>
  <c r="Q102" i="7" s="1"/>
  <c r="V102" i="7"/>
  <c r="V7" i="7"/>
  <c r="P7" i="7"/>
  <c r="Q7" i="7" s="1"/>
  <c r="N7" i="7"/>
  <c r="P43" i="7"/>
  <c r="Q43" i="7" s="1"/>
  <c r="AB43" i="7" s="1"/>
  <c r="N43" i="7"/>
  <c r="V43" i="7"/>
  <c r="N86" i="7"/>
  <c r="P86" i="7"/>
  <c r="Q86" i="7" s="1"/>
  <c r="AB86" i="7" s="1"/>
  <c r="V86" i="7"/>
  <c r="N109" i="7"/>
  <c r="P109" i="7"/>
  <c r="Q109" i="7" s="1"/>
  <c r="V109" i="7"/>
  <c r="N88" i="7"/>
  <c r="P88" i="7"/>
  <c r="Q88" i="7" s="1"/>
  <c r="V88" i="7"/>
  <c r="N32" i="7"/>
  <c r="V32" i="7"/>
  <c r="P32" i="7"/>
  <c r="Q32" i="7" s="1"/>
  <c r="N51" i="7"/>
  <c r="P51" i="7"/>
  <c r="Q51" i="7" s="1"/>
  <c r="AB51" i="7" s="1"/>
  <c r="V51" i="7"/>
  <c r="P67" i="7"/>
  <c r="Q67" i="7" s="1"/>
  <c r="N67" i="7"/>
  <c r="V67" i="7"/>
  <c r="N99" i="7"/>
  <c r="P99" i="7"/>
  <c r="Q99" i="7" s="1"/>
  <c r="V99" i="7"/>
  <c r="P14" i="7"/>
  <c r="Q14" i="7" s="1"/>
  <c r="V14" i="7"/>
  <c r="N14" i="7"/>
  <c r="P103" i="7"/>
  <c r="Q103" i="7" s="1"/>
  <c r="N103" i="7"/>
  <c r="V103" i="7"/>
  <c r="V8" i="7"/>
  <c r="N8" i="7"/>
  <c r="P8" i="7"/>
  <c r="Q8" i="7" s="1"/>
  <c r="AB8" i="7" s="1"/>
  <c r="N85" i="7"/>
  <c r="P85" i="7"/>
  <c r="Q85" i="7" s="1"/>
  <c r="V85" i="7"/>
  <c r="P37" i="7"/>
  <c r="Q37" i="7" s="1"/>
  <c r="N37" i="7"/>
  <c r="V37" i="7"/>
  <c r="N45" i="7"/>
  <c r="P45" i="7"/>
  <c r="Q45" i="7" s="1"/>
  <c r="V45" i="7"/>
  <c r="P68" i="7"/>
  <c r="Q68" i="7" s="1"/>
  <c r="V68" i="7"/>
  <c r="N68" i="7"/>
  <c r="P60" i="7"/>
  <c r="Q60" i="7" s="1"/>
  <c r="N60" i="7"/>
  <c r="V60" i="7"/>
  <c r="P15" i="7"/>
  <c r="Q15" i="7" s="1"/>
  <c r="AB15" i="7" s="1"/>
  <c r="N15" i="7"/>
  <c r="V15" i="7"/>
  <c r="N104" i="7"/>
  <c r="P104" i="7"/>
  <c r="Q104" i="7" s="1"/>
  <c r="V104" i="7"/>
  <c r="N9" i="7"/>
  <c r="P9" i="7"/>
  <c r="Q9" i="7" s="1"/>
  <c r="V9" i="7"/>
  <c r="P108" i="7"/>
  <c r="Q108" i="7" s="1"/>
  <c r="V108" i="7"/>
  <c r="N108" i="7"/>
  <c r="P65" i="7"/>
  <c r="Q65" i="7" s="1"/>
  <c r="V65" i="7"/>
  <c r="N65" i="7"/>
  <c r="P74" i="7"/>
  <c r="Q74" i="7" s="1"/>
  <c r="N74" i="7"/>
  <c r="V74" i="7"/>
  <c r="P93" i="7"/>
  <c r="Q93" i="7" s="1"/>
  <c r="V93" i="7"/>
  <c r="N93" i="7"/>
  <c r="N11" i="7"/>
  <c r="P11" i="7"/>
  <c r="Q11" i="7" s="1"/>
  <c r="V11" i="7"/>
  <c r="N6" i="7"/>
  <c r="P6" i="7"/>
  <c r="Q6" i="7" s="1"/>
  <c r="V6" i="7"/>
  <c r="P87" i="7"/>
  <c r="Q87" i="7" s="1"/>
  <c r="V87" i="7"/>
  <c r="N87" i="7"/>
  <c r="P39" i="7"/>
  <c r="Q39" i="7" s="1"/>
  <c r="AB39" i="7" s="1"/>
  <c r="N39" i="7"/>
  <c r="V39" i="7"/>
  <c r="P50" i="7"/>
  <c r="Q50" i="7" s="1"/>
  <c r="AB50" i="7" s="1"/>
  <c r="N50" i="7"/>
  <c r="V50" i="7"/>
  <c r="N78" i="7"/>
  <c r="V78" i="7"/>
  <c r="P78" i="7"/>
  <c r="Q78" i="7" s="1"/>
  <c r="N66" i="7"/>
  <c r="V66" i="7"/>
  <c r="P66" i="7"/>
  <c r="Q66" i="7" s="1"/>
  <c r="AB66" i="7" s="1"/>
  <c r="P71" i="7"/>
  <c r="Q71" i="7" s="1"/>
  <c r="N71" i="7"/>
  <c r="V71" i="7"/>
  <c r="N58" i="7"/>
  <c r="P58" i="7"/>
  <c r="Q58" i="7" s="1"/>
  <c r="V58" i="7"/>
  <c r="N13" i="7"/>
  <c r="V13" i="7"/>
  <c r="P13" i="7"/>
  <c r="Q13" i="7" s="1"/>
  <c r="V110" i="7"/>
  <c r="N110" i="7"/>
  <c r="P110" i="7"/>
  <c r="Q110" i="7" s="1"/>
  <c r="AB110" i="7" s="1"/>
  <c r="N53" i="7"/>
  <c r="P53" i="7"/>
  <c r="Q53" i="7" s="1"/>
  <c r="V53" i="7"/>
  <c r="P106" i="7"/>
  <c r="Q106" i="7" s="1"/>
  <c r="AB106" i="7" s="1"/>
  <c r="V106" i="7"/>
  <c r="N106" i="7"/>
  <c r="N52" i="7"/>
  <c r="V52" i="7"/>
  <c r="P52" i="7"/>
  <c r="Q52" i="7" s="1"/>
  <c r="P4" i="7"/>
  <c r="Q4" i="7" s="1"/>
  <c r="AB4" i="7" s="1"/>
  <c r="N4" i="7"/>
  <c r="V4" i="7"/>
  <c r="M121" i="7"/>
  <c r="V38" i="7"/>
  <c r="P38" i="7"/>
  <c r="Q38" i="7" s="1"/>
  <c r="N38" i="7"/>
  <c r="P46" i="7"/>
  <c r="Q46" i="7" s="1"/>
  <c r="N46" i="7"/>
  <c r="V46" i="7"/>
  <c r="N61" i="7"/>
  <c r="P61" i="7"/>
  <c r="Q61" i="7" s="1"/>
  <c r="V61" i="7"/>
  <c r="N10" i="7"/>
  <c r="P10" i="7"/>
  <c r="Q10" i="7" s="1"/>
  <c r="AB10" i="7" s="1"/>
  <c r="V10" i="7"/>
  <c r="N84" i="7"/>
  <c r="V84" i="7"/>
  <c r="P84" i="7"/>
  <c r="Q84" i="7" s="1"/>
  <c r="P36" i="7"/>
  <c r="Q36" i="7" s="1"/>
  <c r="V36" i="7"/>
  <c r="N36" i="7"/>
  <c r="P25" i="7"/>
  <c r="Q25" i="7" s="1"/>
  <c r="AB25" i="7" s="1"/>
  <c r="V25" i="7"/>
  <c r="N25" i="7"/>
  <c r="V48" i="7"/>
  <c r="P48" i="7"/>
  <c r="Q48" i="7" s="1"/>
  <c r="AB48" i="7" s="1"/>
  <c r="N48" i="7"/>
  <c r="V77" i="7"/>
  <c r="N77" i="7"/>
  <c r="P77" i="7"/>
  <c r="Q77" i="7" s="1"/>
  <c r="AB77" i="7" s="1"/>
  <c r="P72" i="7"/>
  <c r="Q72" i="7" s="1"/>
  <c r="V72" i="7"/>
  <c r="N72" i="7"/>
  <c r="P98" i="7"/>
  <c r="Q98" i="7" s="1"/>
  <c r="AB98" i="7" s="1"/>
  <c r="N98" i="7"/>
  <c r="V98" i="7"/>
  <c r="P57" i="7"/>
  <c r="Q57" i="7" s="1"/>
  <c r="V57" i="7"/>
  <c r="N57" i="7"/>
  <c r="P75" i="7"/>
  <c r="Q75" i="7" s="1"/>
  <c r="V75" i="7"/>
  <c r="N75" i="7"/>
  <c r="N28" i="7"/>
  <c r="P28" i="7"/>
  <c r="Q28" i="7" s="1"/>
  <c r="V28" i="7"/>
  <c r="N107" i="7"/>
  <c r="P107" i="7"/>
  <c r="Q107" i="7" s="1"/>
  <c r="V107" i="7"/>
  <c r="P40" i="7"/>
  <c r="Q40" i="7" s="1"/>
  <c r="V40" i="7"/>
  <c r="N40" i="7"/>
  <c r="N5" i="7"/>
  <c r="P5" i="7"/>
  <c r="Q5" i="7" s="1"/>
  <c r="V5" i="7"/>
  <c r="N96" i="6"/>
  <c r="W96" i="6"/>
  <c r="X96" i="6"/>
  <c r="V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X13" i="6"/>
  <c r="X14" i="6"/>
  <c r="X15" i="6"/>
  <c r="X16" i="6"/>
  <c r="X17" i="6"/>
  <c r="X18" i="6"/>
  <c r="X19" i="6"/>
  <c r="X20" i="6"/>
  <c r="X21" i="6"/>
  <c r="X22" i="6"/>
  <c r="X23" i="6"/>
  <c r="X24" i="6"/>
  <c r="X25" i="6"/>
  <c r="X26" i="6"/>
  <c r="X27" i="6"/>
  <c r="X28" i="6"/>
  <c r="X29" i="6"/>
  <c r="X30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8" i="6"/>
  <c r="X49" i="6"/>
  <c r="X50" i="6"/>
  <c r="X51" i="6"/>
  <c r="X52" i="6"/>
  <c r="X53" i="6"/>
  <c r="X54" i="6"/>
  <c r="X55" i="6"/>
  <c r="X56" i="6"/>
  <c r="X57" i="6"/>
  <c r="X58" i="6"/>
  <c r="X59" i="6"/>
  <c r="X60" i="6"/>
  <c r="X61" i="6"/>
  <c r="X62" i="6"/>
  <c r="X63" i="6"/>
  <c r="X64" i="6"/>
  <c r="X65" i="6"/>
  <c r="X66" i="6"/>
  <c r="X67" i="6"/>
  <c r="X68" i="6"/>
  <c r="X69" i="6"/>
  <c r="X70" i="6"/>
  <c r="X71" i="6"/>
  <c r="X72" i="6"/>
  <c r="X73" i="6"/>
  <c r="X74" i="6"/>
  <c r="X75" i="6"/>
  <c r="X76" i="6"/>
  <c r="X77" i="6"/>
  <c r="X78" i="6"/>
  <c r="X79" i="6"/>
  <c r="X80" i="6"/>
  <c r="X81" i="6"/>
  <c r="X82" i="6"/>
  <c r="X83" i="6"/>
  <c r="X84" i="6"/>
  <c r="X85" i="6"/>
  <c r="X86" i="6"/>
  <c r="X87" i="6"/>
  <c r="X88" i="6"/>
  <c r="X89" i="6"/>
  <c r="X90" i="6"/>
  <c r="X91" i="6"/>
  <c r="X92" i="6"/>
  <c r="X93" i="6"/>
  <c r="X94" i="6"/>
  <c r="X95" i="6"/>
  <c r="X97" i="6"/>
  <c r="X98" i="6"/>
  <c r="X99" i="6"/>
  <c r="X100" i="6"/>
  <c r="X101" i="6"/>
  <c r="X102" i="6"/>
  <c r="X103" i="6"/>
  <c r="X104" i="6"/>
  <c r="X105" i="6"/>
  <c r="X106" i="6"/>
  <c r="X107" i="6"/>
  <c r="X108" i="6"/>
  <c r="X109" i="6"/>
  <c r="X110" i="6"/>
  <c r="X111" i="6"/>
  <c r="X112" i="6"/>
  <c r="X113" i="6"/>
  <c r="X114" i="6"/>
  <c r="X115" i="6"/>
  <c r="X116" i="6"/>
  <c r="X117" i="6"/>
  <c r="X118" i="6"/>
  <c r="X119" i="6"/>
  <c r="X6" i="6"/>
  <c r="X7" i="6"/>
  <c r="X8" i="6"/>
  <c r="X9" i="6"/>
  <c r="X10" i="6"/>
  <c r="X11" i="6"/>
  <c r="X12" i="6"/>
  <c r="W5" i="6"/>
  <c r="W6" i="6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20" i="6"/>
  <c r="W21" i="6"/>
  <c r="W22" i="6"/>
  <c r="W23" i="6"/>
  <c r="W24" i="6"/>
  <c r="W25" i="6"/>
  <c r="W26" i="6"/>
  <c r="W27" i="6"/>
  <c r="W28" i="6"/>
  <c r="W29" i="6"/>
  <c r="W30" i="6"/>
  <c r="W31" i="6"/>
  <c r="W32" i="6"/>
  <c r="W33" i="6"/>
  <c r="W34" i="6"/>
  <c r="W35" i="6"/>
  <c r="W36" i="6"/>
  <c r="W37" i="6"/>
  <c r="W38" i="6"/>
  <c r="W39" i="6"/>
  <c r="W40" i="6"/>
  <c r="W41" i="6"/>
  <c r="W42" i="6"/>
  <c r="W43" i="6"/>
  <c r="W44" i="6"/>
  <c r="W45" i="6"/>
  <c r="W46" i="6"/>
  <c r="W47" i="6"/>
  <c r="W48" i="6"/>
  <c r="W49" i="6"/>
  <c r="W50" i="6"/>
  <c r="W51" i="6"/>
  <c r="W52" i="6"/>
  <c r="W53" i="6"/>
  <c r="W54" i="6"/>
  <c r="W55" i="6"/>
  <c r="W56" i="6"/>
  <c r="W57" i="6"/>
  <c r="W58" i="6"/>
  <c r="W59" i="6"/>
  <c r="W60" i="6"/>
  <c r="W61" i="6"/>
  <c r="W62" i="6"/>
  <c r="W63" i="6"/>
  <c r="W64" i="6"/>
  <c r="W65" i="6"/>
  <c r="W66" i="6"/>
  <c r="W67" i="6"/>
  <c r="W68" i="6"/>
  <c r="W69" i="6"/>
  <c r="W70" i="6"/>
  <c r="W71" i="6"/>
  <c r="W72" i="6"/>
  <c r="W73" i="6"/>
  <c r="W74" i="6"/>
  <c r="W75" i="6"/>
  <c r="W76" i="6"/>
  <c r="W77" i="6"/>
  <c r="W78" i="6"/>
  <c r="W79" i="6"/>
  <c r="W80" i="6"/>
  <c r="W81" i="6"/>
  <c r="W82" i="6"/>
  <c r="W83" i="6"/>
  <c r="W84" i="6"/>
  <c r="W85" i="6"/>
  <c r="W86" i="6"/>
  <c r="W87" i="6"/>
  <c r="W88" i="6"/>
  <c r="W89" i="6"/>
  <c r="W90" i="6"/>
  <c r="W91" i="6"/>
  <c r="W92" i="6"/>
  <c r="W93" i="6"/>
  <c r="W94" i="6"/>
  <c r="W95" i="6"/>
  <c r="W97" i="6"/>
  <c r="W98" i="6"/>
  <c r="W99" i="6"/>
  <c r="W100" i="6"/>
  <c r="W101" i="6"/>
  <c r="W102" i="6"/>
  <c r="W103" i="6"/>
  <c r="W104" i="6"/>
  <c r="W105" i="6"/>
  <c r="W106" i="6"/>
  <c r="W107" i="6"/>
  <c r="W108" i="6"/>
  <c r="W109" i="6"/>
  <c r="W110" i="6"/>
  <c r="W111" i="6"/>
  <c r="W112" i="6"/>
  <c r="W113" i="6"/>
  <c r="W114" i="6"/>
  <c r="W115" i="6"/>
  <c r="W116" i="6"/>
  <c r="W117" i="6"/>
  <c r="W118" i="6"/>
  <c r="W119" i="6"/>
  <c r="G29" i="5"/>
  <c r="F29" i="5"/>
  <c r="G26" i="5"/>
  <c r="F26" i="5"/>
  <c r="G25" i="5"/>
  <c r="F25" i="5"/>
  <c r="G24" i="5"/>
  <c r="F24" i="5"/>
  <c r="G23" i="5"/>
  <c r="F23" i="5"/>
  <c r="G21" i="5"/>
  <c r="F21" i="5"/>
  <c r="G20" i="5"/>
  <c r="F20" i="5"/>
  <c r="G11" i="5"/>
  <c r="F11" i="5"/>
  <c r="G14" i="5"/>
  <c r="F14" i="5"/>
  <c r="G19" i="5"/>
  <c r="F19" i="5"/>
  <c r="G5" i="5"/>
  <c r="F5" i="5"/>
  <c r="L120" i="6"/>
  <c r="K120" i="6"/>
  <c r="J120" i="6"/>
  <c r="N119" i="6"/>
  <c r="N118" i="6"/>
  <c r="N117" i="6"/>
  <c r="N116" i="6"/>
  <c r="N115" i="6"/>
  <c r="N114" i="6"/>
  <c r="N113" i="6"/>
  <c r="N112" i="6"/>
  <c r="N111" i="6"/>
  <c r="N110" i="6"/>
  <c r="N109" i="6"/>
  <c r="N108" i="6"/>
  <c r="N107" i="6"/>
  <c r="N106" i="6"/>
  <c r="N105" i="6"/>
  <c r="N104" i="6"/>
  <c r="N103" i="6"/>
  <c r="N102" i="6"/>
  <c r="N101" i="6"/>
  <c r="N100" i="6"/>
  <c r="N99" i="6"/>
  <c r="N98" i="6"/>
  <c r="N97" i="6"/>
  <c r="N95" i="6"/>
  <c r="N94" i="6"/>
  <c r="O93" i="6"/>
  <c r="N93" i="6"/>
  <c r="N92" i="6"/>
  <c r="N91" i="6"/>
  <c r="N90" i="6"/>
  <c r="N89" i="6"/>
  <c r="N88" i="6"/>
  <c r="N87" i="6"/>
  <c r="N86" i="6"/>
  <c r="N85" i="6"/>
  <c r="N84" i="6"/>
  <c r="N83" i="6"/>
  <c r="O82" i="6"/>
  <c r="N82" i="6"/>
  <c r="O81" i="7" s="1"/>
  <c r="N81" i="6"/>
  <c r="N80" i="6"/>
  <c r="N79" i="6"/>
  <c r="N78" i="6"/>
  <c r="N77" i="6"/>
  <c r="N76" i="6"/>
  <c r="N75" i="6"/>
  <c r="N74" i="6"/>
  <c r="N73" i="6"/>
  <c r="N72" i="6"/>
  <c r="N71" i="6"/>
  <c r="N70" i="6"/>
  <c r="N69" i="6"/>
  <c r="N68" i="6"/>
  <c r="N67" i="6"/>
  <c r="N66" i="6"/>
  <c r="N65" i="6"/>
  <c r="N64" i="6"/>
  <c r="N63" i="6"/>
  <c r="N62" i="6"/>
  <c r="N61" i="6"/>
  <c r="N60" i="6"/>
  <c r="N59" i="6"/>
  <c r="N58" i="6"/>
  <c r="N57" i="6"/>
  <c r="N56" i="6"/>
  <c r="N55" i="6"/>
  <c r="N54" i="6"/>
  <c r="N53" i="6"/>
  <c r="N52" i="6"/>
  <c r="N51" i="6"/>
  <c r="N50" i="6"/>
  <c r="N49" i="6"/>
  <c r="N48" i="6"/>
  <c r="N47" i="6"/>
  <c r="N46" i="6"/>
  <c r="N45" i="6"/>
  <c r="N44" i="6"/>
  <c r="N43" i="6"/>
  <c r="N42" i="6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G1306" i="1"/>
  <c r="G1471" i="1"/>
  <c r="G1409" i="1"/>
  <c r="G1029" i="1"/>
  <c r="G953" i="1"/>
  <c r="G792" i="1"/>
  <c r="G461" i="1"/>
  <c r="G348" i="1"/>
  <c r="G255" i="1"/>
  <c r="G248" i="1"/>
  <c r="G231" i="1"/>
  <c r="G175" i="1"/>
  <c r="G167" i="1"/>
  <c r="G155" i="1"/>
  <c r="G57" i="1"/>
  <c r="G27" i="1"/>
  <c r="G1419" i="1"/>
  <c r="G1413" i="1"/>
  <c r="G798" i="1"/>
  <c r="G259" i="1"/>
  <c r="G234" i="1"/>
  <c r="G66" i="1"/>
  <c r="G42" i="1"/>
  <c r="G32" i="1"/>
  <c r="G35" i="1"/>
  <c r="T48" i="6"/>
  <c r="T100" i="6"/>
  <c r="T101" i="6"/>
  <c r="T118" i="6"/>
  <c r="T91" i="6"/>
  <c r="T112" i="6"/>
  <c r="T104" i="6"/>
  <c r="T20" i="6"/>
  <c r="T68" i="6"/>
  <c r="T9" i="6"/>
  <c r="T69" i="6"/>
  <c r="T106" i="6"/>
  <c r="T16" i="6"/>
  <c r="T21" i="6"/>
  <c r="T39" i="6"/>
  <c r="T111" i="6"/>
  <c r="T94" i="6"/>
  <c r="T6" i="6"/>
  <c r="T87" i="6"/>
  <c r="T103" i="6"/>
  <c r="T108" i="6"/>
  <c r="T5" i="6"/>
  <c r="T36" i="6"/>
  <c r="T114" i="6"/>
  <c r="T84" i="6"/>
  <c r="T40" i="6"/>
  <c r="T67" i="6"/>
  <c r="T102" i="6"/>
  <c r="T41" i="6"/>
  <c r="T17" i="6"/>
  <c r="T99" i="6"/>
  <c r="T86" i="6"/>
  <c r="T117" i="6"/>
  <c r="T15" i="6"/>
  <c r="T109" i="6"/>
  <c r="T37" i="6"/>
  <c r="T18" i="6"/>
  <c r="T113" i="6"/>
  <c r="T19" i="6"/>
  <c r="T42" i="6"/>
  <c r="T89" i="6"/>
  <c r="T7" i="6"/>
  <c r="T85" i="6"/>
  <c r="T115" i="6"/>
  <c r="T24" i="6"/>
  <c r="T88" i="6"/>
  <c r="T70" i="6"/>
  <c r="T105" i="6"/>
  <c r="T34" i="6"/>
  <c r="T25" i="6"/>
  <c r="T38" i="6"/>
  <c r="T98" i="6"/>
  <c r="T116" i="6"/>
  <c r="T43" i="6"/>
  <c r="T8" i="6"/>
  <c r="T119" i="6"/>
  <c r="T22" i="6"/>
  <c r="T90" i="6"/>
  <c r="T95" i="6"/>
  <c r="T23" i="6"/>
  <c r="T107" i="6"/>
  <c r="T96" i="6"/>
  <c r="T35" i="6"/>
  <c r="T26" i="6"/>
  <c r="T14" i="6"/>
  <c r="T110" i="6"/>
  <c r="R75" i="7" l="1"/>
  <c r="AA75" i="7" s="1"/>
  <c r="AB75" i="7"/>
  <c r="R53" i="7"/>
  <c r="AA53" i="7" s="1"/>
  <c r="AB53" i="7"/>
  <c r="R87" i="7"/>
  <c r="AB87" i="7"/>
  <c r="R74" i="7"/>
  <c r="AB74" i="7"/>
  <c r="R9" i="7"/>
  <c r="AA9" i="7" s="1"/>
  <c r="AB9" i="7"/>
  <c r="R103" i="7"/>
  <c r="AB103" i="7"/>
  <c r="R109" i="7"/>
  <c r="AB109" i="7"/>
  <c r="R94" i="7"/>
  <c r="AB94" i="7"/>
  <c r="R95" i="7"/>
  <c r="AB95" i="7"/>
  <c r="R36" i="7"/>
  <c r="AB36" i="7"/>
  <c r="R13" i="7"/>
  <c r="AB13" i="7"/>
  <c r="R71" i="7"/>
  <c r="AB71" i="7"/>
  <c r="R11" i="7"/>
  <c r="AB11" i="7"/>
  <c r="R68" i="7"/>
  <c r="AB68" i="7"/>
  <c r="R99" i="7"/>
  <c r="AB99" i="7"/>
  <c r="R88" i="7"/>
  <c r="AB88" i="7"/>
  <c r="R42" i="7"/>
  <c r="AA42" i="7" s="1"/>
  <c r="AB42" i="7"/>
  <c r="R84" i="7"/>
  <c r="AA84" i="7" s="1"/>
  <c r="AB84" i="7"/>
  <c r="R6" i="7"/>
  <c r="AB6" i="7"/>
  <c r="R108" i="7"/>
  <c r="AB108" i="7"/>
  <c r="R60" i="7"/>
  <c r="AA60" i="7" s="1"/>
  <c r="AB60" i="7"/>
  <c r="R76" i="7"/>
  <c r="AA76" i="7" s="1"/>
  <c r="AB76" i="7"/>
  <c r="R92" i="7"/>
  <c r="AB92" i="7"/>
  <c r="R35" i="7"/>
  <c r="AB35" i="7"/>
  <c r="R83" i="7"/>
  <c r="AB83" i="7"/>
  <c r="R69" i="7"/>
  <c r="AA69" i="7" s="1"/>
  <c r="AB69" i="7"/>
  <c r="R12" i="7"/>
  <c r="AB12" i="7"/>
  <c r="R63" i="7"/>
  <c r="AB63" i="7"/>
  <c r="R34" i="7"/>
  <c r="AB34" i="7"/>
  <c r="R70" i="7"/>
  <c r="AB70" i="7"/>
  <c r="R73" i="7"/>
  <c r="AB73" i="7"/>
  <c r="R89" i="7"/>
  <c r="AA89" i="7" s="1"/>
  <c r="AB89" i="7"/>
  <c r="R111" i="7"/>
  <c r="AB111" i="7"/>
  <c r="R28" i="7"/>
  <c r="AB28" i="7"/>
  <c r="R7" i="7"/>
  <c r="AA7" i="7" s="1"/>
  <c r="AB7" i="7"/>
  <c r="R97" i="7"/>
  <c r="AB97" i="7"/>
  <c r="R105" i="7"/>
  <c r="AA105" i="7" s="1"/>
  <c r="AB105" i="7"/>
  <c r="R49" i="7"/>
  <c r="AB49" i="7"/>
  <c r="R55" i="7"/>
  <c r="AA55" i="7" s="1"/>
  <c r="AB55" i="7"/>
  <c r="R79" i="7"/>
  <c r="AB79" i="7"/>
  <c r="R107" i="7"/>
  <c r="AB107" i="7"/>
  <c r="R72" i="7"/>
  <c r="AB72" i="7"/>
  <c r="R61" i="7"/>
  <c r="AB61" i="7"/>
  <c r="R46" i="7"/>
  <c r="AB46" i="7"/>
  <c r="R52" i="7"/>
  <c r="AB52" i="7"/>
  <c r="R58" i="7"/>
  <c r="AB58" i="7"/>
  <c r="R78" i="7"/>
  <c r="AB78" i="7"/>
  <c r="R93" i="7"/>
  <c r="AB93" i="7"/>
  <c r="R85" i="7"/>
  <c r="AB85" i="7"/>
  <c r="R67" i="7"/>
  <c r="AB67" i="7"/>
  <c r="R32" i="7"/>
  <c r="AA32" i="7" s="1"/>
  <c r="AB32" i="7"/>
  <c r="R64" i="7"/>
  <c r="AB64" i="7"/>
  <c r="R91" i="7"/>
  <c r="AB91" i="7"/>
  <c r="R59" i="7"/>
  <c r="AB59" i="7"/>
  <c r="R5" i="7"/>
  <c r="AB5" i="7"/>
  <c r="R40" i="7"/>
  <c r="AA40" i="7" s="1"/>
  <c r="AB40" i="7"/>
  <c r="R57" i="7"/>
  <c r="AB57" i="7"/>
  <c r="R38" i="7"/>
  <c r="AB38" i="7"/>
  <c r="R65" i="7"/>
  <c r="AB65" i="7"/>
  <c r="R104" i="7"/>
  <c r="AB104" i="7"/>
  <c r="R45" i="7"/>
  <c r="AA45" i="7" s="1"/>
  <c r="AB45" i="7"/>
  <c r="R37" i="7"/>
  <c r="AB37" i="7"/>
  <c r="R14" i="7"/>
  <c r="AA14" i="7" s="1"/>
  <c r="AB14" i="7"/>
  <c r="R102" i="7"/>
  <c r="AB102" i="7"/>
  <c r="R24" i="7"/>
  <c r="AB24" i="7"/>
  <c r="R47" i="7"/>
  <c r="AB47" i="7"/>
  <c r="R26" i="7"/>
  <c r="AB26" i="7"/>
  <c r="R96" i="7"/>
  <c r="AA96" i="7" s="1"/>
  <c r="AB96" i="7"/>
  <c r="R44" i="7"/>
  <c r="AB44" i="7"/>
  <c r="R41" i="7"/>
  <c r="AB41" i="7"/>
  <c r="R101" i="7"/>
  <c r="AB101" i="7"/>
  <c r="R16" i="7"/>
  <c r="AB16" i="7"/>
  <c r="R33" i="7"/>
  <c r="AB33" i="7"/>
  <c r="R80" i="7"/>
  <c r="AB80" i="7"/>
  <c r="R31" i="7"/>
  <c r="AB31" i="7"/>
  <c r="Z3" i="7"/>
  <c r="AA3" i="7"/>
  <c r="P6" i="6"/>
  <c r="O40" i="7"/>
  <c r="R14" i="6"/>
  <c r="O9" i="7"/>
  <c r="P22" i="6"/>
  <c r="S22" i="6" s="1"/>
  <c r="P26" i="6"/>
  <c r="Q26" i="6" s="1"/>
  <c r="R30" i="6"/>
  <c r="O53" i="7"/>
  <c r="P38" i="6"/>
  <c r="Q38" i="6" s="1"/>
  <c r="P42" i="6"/>
  <c r="Q42" i="6" s="1"/>
  <c r="O76" i="7"/>
  <c r="O14" i="7"/>
  <c r="P54" i="6"/>
  <c r="Q54" i="6" s="1"/>
  <c r="R58" i="6"/>
  <c r="P62" i="6"/>
  <c r="R66" i="6"/>
  <c r="P70" i="6"/>
  <c r="S70" i="6" s="1"/>
  <c r="P74" i="6"/>
  <c r="Q74" i="6" s="1"/>
  <c r="R78" i="6"/>
  <c r="O45" i="7"/>
  <c r="O49" i="7"/>
  <c r="R93" i="6"/>
  <c r="O100" i="7"/>
  <c r="P97" i="6"/>
  <c r="Q97" i="6" s="1"/>
  <c r="P101" i="6"/>
  <c r="Q101" i="6" s="1"/>
  <c r="R105" i="6"/>
  <c r="R109" i="6"/>
  <c r="O84" i="7"/>
  <c r="P117" i="6"/>
  <c r="Q117" i="6" s="1"/>
  <c r="R10" i="7"/>
  <c r="AA10" i="7" s="1"/>
  <c r="R106" i="7"/>
  <c r="R110" i="7"/>
  <c r="R66" i="7"/>
  <c r="R50" i="7"/>
  <c r="R98" i="7"/>
  <c r="R77" i="7"/>
  <c r="R48" i="7"/>
  <c r="R25" i="7"/>
  <c r="R8" i="6"/>
  <c r="O42" i="7"/>
  <c r="O7" i="7"/>
  <c r="R20" i="6"/>
  <c r="O105" i="7"/>
  <c r="O18" i="7"/>
  <c r="AA18" i="7"/>
  <c r="R32" i="6"/>
  <c r="O55" i="7"/>
  <c r="R40" i="6"/>
  <c r="P44" i="6"/>
  <c r="Q44" i="6" s="1"/>
  <c r="P48" i="6"/>
  <c r="P52" i="6"/>
  <c r="S52" i="6" s="1"/>
  <c r="R56" i="6"/>
  <c r="R60" i="6"/>
  <c r="R64" i="6"/>
  <c r="P68" i="6"/>
  <c r="P72" i="6"/>
  <c r="Q72" i="6" s="1"/>
  <c r="P76" i="6"/>
  <c r="Q76" i="6" s="1"/>
  <c r="P80" i="6"/>
  <c r="Q80" i="6" s="1"/>
  <c r="P83" i="6"/>
  <c r="Q83" i="6" s="1"/>
  <c r="P87" i="6"/>
  <c r="Q87" i="6" s="1"/>
  <c r="O51" i="7"/>
  <c r="P94" i="6"/>
  <c r="S94" i="6" s="1"/>
  <c r="P99" i="6"/>
  <c r="R103" i="6"/>
  <c r="R107" i="6"/>
  <c r="P111" i="6"/>
  <c r="S111" i="6" s="1"/>
  <c r="O86" i="7"/>
  <c r="P119" i="6"/>
  <c r="S119" i="6" s="1"/>
  <c r="R4" i="7"/>
  <c r="R8" i="7"/>
  <c r="R51" i="7"/>
  <c r="R86" i="7"/>
  <c r="R43" i="7"/>
  <c r="R82" i="7"/>
  <c r="R15" i="7"/>
  <c r="R90" i="7"/>
  <c r="P7" i="6"/>
  <c r="Q7" i="6" s="1"/>
  <c r="AC11" i="6"/>
  <c r="R15" i="6"/>
  <c r="O10" i="7"/>
  <c r="P23" i="6"/>
  <c r="Q23" i="6" s="1"/>
  <c r="P27" i="6"/>
  <c r="R31" i="6"/>
  <c r="P35" i="6"/>
  <c r="Q35" i="6" s="1"/>
  <c r="P39" i="6"/>
  <c r="Q39" i="6" s="1"/>
  <c r="O69" i="7"/>
  <c r="R47" i="6"/>
  <c r="O15" i="7"/>
  <c r="P55" i="6"/>
  <c r="S55" i="6" s="1"/>
  <c r="P59" i="6"/>
  <c r="Q59" i="6" s="1"/>
  <c r="O96" i="7"/>
  <c r="P67" i="6"/>
  <c r="Q67" i="6" s="1"/>
  <c r="R71" i="6"/>
  <c r="O66" i="7"/>
  <c r="P79" i="6"/>
  <c r="Q79" i="6" s="1"/>
  <c r="AF82" i="6"/>
  <c r="K81" i="7"/>
  <c r="R86" i="6"/>
  <c r="P90" i="6"/>
  <c r="Q90" i="6" s="1"/>
  <c r="AF93" i="6"/>
  <c r="K100" i="7"/>
  <c r="P98" i="6"/>
  <c r="S98" i="6" s="1"/>
  <c r="R102" i="6"/>
  <c r="P106" i="6"/>
  <c r="S106" i="6" s="1"/>
  <c r="P110" i="6"/>
  <c r="S110" i="6" s="1"/>
  <c r="R114" i="6"/>
  <c r="O89" i="7"/>
  <c r="R30" i="7"/>
  <c r="U3" i="7"/>
  <c r="X3" i="7" s="1"/>
  <c r="O3" i="7"/>
  <c r="P9" i="6"/>
  <c r="Q9" i="6" s="1"/>
  <c r="AC13" i="6"/>
  <c r="O8" i="7"/>
  <c r="P21" i="6"/>
  <c r="S21" i="6" s="1"/>
  <c r="P25" i="6"/>
  <c r="S25" i="6" s="1"/>
  <c r="R29" i="6"/>
  <c r="R33" i="6"/>
  <c r="R37" i="6"/>
  <c r="P41" i="6"/>
  <c r="O75" i="7"/>
  <c r="R49" i="6"/>
  <c r="R53" i="6"/>
  <c r="O60" i="7"/>
  <c r="P61" i="6"/>
  <c r="S61" i="6" s="1"/>
  <c r="P65" i="6"/>
  <c r="Q65" i="6" s="1"/>
  <c r="P69" i="6"/>
  <c r="S69" i="6" s="1"/>
  <c r="P73" i="6"/>
  <c r="Q73" i="6" s="1"/>
  <c r="P77" i="6"/>
  <c r="S77" i="6" s="1"/>
  <c r="P81" i="6"/>
  <c r="S81" i="6" s="1"/>
  <c r="R84" i="6"/>
  <c r="P88" i="6"/>
  <c r="S88" i="6" s="1"/>
  <c r="P92" i="6"/>
  <c r="S92" i="6" s="1"/>
  <c r="P95" i="6"/>
  <c r="O32" i="7"/>
  <c r="P104" i="6"/>
  <c r="Q104" i="6" s="1"/>
  <c r="R108" i="6"/>
  <c r="P112" i="6"/>
  <c r="Q112" i="6" s="1"/>
  <c r="P116" i="6"/>
  <c r="S116" i="6" s="1"/>
  <c r="R96" i="6"/>
  <c r="R39" i="7"/>
  <c r="R62" i="7"/>
  <c r="R54" i="7"/>
  <c r="R68" i="6"/>
  <c r="Q98" i="6"/>
  <c r="R110" i="6"/>
  <c r="R62" i="6"/>
  <c r="S65" i="6"/>
  <c r="R94" i="6"/>
  <c r="S26" i="6"/>
  <c r="P71" i="6"/>
  <c r="S71" i="6" s="1"/>
  <c r="R69" i="6"/>
  <c r="P8" i="6"/>
  <c r="Q8" i="6" s="1"/>
  <c r="R44" i="6"/>
  <c r="R22" i="6"/>
  <c r="R10" i="6"/>
  <c r="AC10" i="6"/>
  <c r="P78" i="6"/>
  <c r="Q78" i="6" s="1"/>
  <c r="P102" i="6"/>
  <c r="Q102" i="6" s="1"/>
  <c r="P12" i="6"/>
  <c r="AC12" i="6"/>
  <c r="R41" i="6"/>
  <c r="P15" i="6"/>
  <c r="Q15" i="6" s="1"/>
  <c r="R38" i="6"/>
  <c r="R61" i="6"/>
  <c r="R7" i="6"/>
  <c r="R52" i="6"/>
  <c r="Q70" i="6"/>
  <c r="P84" i="6"/>
  <c r="S84" i="6" s="1"/>
  <c r="P86" i="6"/>
  <c r="S86" i="6" s="1"/>
  <c r="P49" i="6"/>
  <c r="Q49" i="6" s="1"/>
  <c r="R35" i="6"/>
  <c r="S35" i="6" s="1"/>
  <c r="P32" i="6"/>
  <c r="R116" i="6"/>
  <c r="R67" i="6"/>
  <c r="O120" i="6"/>
  <c r="P103" i="6"/>
  <c r="Q103" i="6" s="1"/>
  <c r="P96" i="6"/>
  <c r="Q96" i="6" s="1"/>
  <c r="Q25" i="6"/>
  <c r="R73" i="6"/>
  <c r="R70" i="6"/>
  <c r="R90" i="6"/>
  <c r="R112" i="6"/>
  <c r="P20" i="6"/>
  <c r="Q20" i="6" s="1"/>
  <c r="S73" i="6"/>
  <c r="R83" i="6"/>
  <c r="R77" i="6"/>
  <c r="P33" i="6"/>
  <c r="Q33" i="6" s="1"/>
  <c r="P56" i="6"/>
  <c r="Q56" i="6" s="1"/>
  <c r="R72" i="6"/>
  <c r="P105" i="6"/>
  <c r="Q105" i="6" s="1"/>
  <c r="R111" i="6"/>
  <c r="P60" i="6"/>
  <c r="Q60" i="6" s="1"/>
  <c r="R97" i="6"/>
  <c r="Q81" i="6"/>
  <c r="S90" i="6"/>
  <c r="Q61" i="6"/>
  <c r="R26" i="6"/>
  <c r="R79" i="6"/>
  <c r="T61" i="6"/>
  <c r="R81" i="6"/>
  <c r="R9" i="6"/>
  <c r="R95" i="6"/>
  <c r="P31" i="6"/>
  <c r="P37" i="6"/>
  <c r="Q37" i="6" s="1"/>
  <c r="P64" i="6"/>
  <c r="Q64" i="6" s="1"/>
  <c r="S54" i="6"/>
  <c r="R87" i="6"/>
  <c r="R106" i="6"/>
  <c r="R54" i="6"/>
  <c r="R104" i="6"/>
  <c r="R74" i="6"/>
  <c r="P107" i="6"/>
  <c r="Q107" i="6" s="1"/>
  <c r="P109" i="6"/>
  <c r="Q109" i="6" s="1"/>
  <c r="T49" i="6"/>
  <c r="Z48" i="6"/>
  <c r="AA48" i="6" s="1"/>
  <c r="P16" i="6"/>
  <c r="S16" i="6" s="1"/>
  <c r="R16" i="6"/>
  <c r="Q27" i="6"/>
  <c r="S27" i="6"/>
  <c r="P82" i="6"/>
  <c r="R82" i="6"/>
  <c r="Q110" i="6"/>
  <c r="P113" i="6"/>
  <c r="S113" i="6" s="1"/>
  <c r="R113" i="6"/>
  <c r="R48" i="6"/>
  <c r="P34" i="6"/>
  <c r="R34" i="6"/>
  <c r="P45" i="6"/>
  <c r="R45" i="6"/>
  <c r="S72" i="6"/>
  <c r="P5" i="6"/>
  <c r="Q5" i="6" s="1"/>
  <c r="R5" i="6"/>
  <c r="R43" i="6"/>
  <c r="P43" i="6"/>
  <c r="Q43" i="6" s="1"/>
  <c r="P85" i="6"/>
  <c r="Q85" i="6" s="1"/>
  <c r="R85" i="6"/>
  <c r="P118" i="6"/>
  <c r="Q118" i="6" s="1"/>
  <c r="R118" i="6"/>
  <c r="Q22" i="6"/>
  <c r="P36" i="6"/>
  <c r="R36" i="6"/>
  <c r="Q52" i="6"/>
  <c r="P63" i="6"/>
  <c r="R63" i="6"/>
  <c r="P89" i="6"/>
  <c r="R89" i="6"/>
  <c r="S99" i="6"/>
  <c r="Q99" i="6"/>
  <c r="Q116" i="6"/>
  <c r="R23" i="6"/>
  <c r="R76" i="6"/>
  <c r="S101" i="6"/>
  <c r="R27" i="6"/>
  <c r="R99" i="6"/>
  <c r="R65" i="6"/>
  <c r="R12" i="6"/>
  <c r="R59" i="6"/>
  <c r="P30" i="6"/>
  <c r="P47" i="6"/>
  <c r="P53" i="6"/>
  <c r="P93" i="6"/>
  <c r="Q93" i="6" s="1"/>
  <c r="Q62" i="6"/>
  <c r="S62" i="6"/>
  <c r="Q6" i="6"/>
  <c r="Q95" i="6"/>
  <c r="S95" i="6"/>
  <c r="R17" i="6"/>
  <c r="P17" i="6"/>
  <c r="S74" i="6"/>
  <c r="R55" i="6"/>
  <c r="R80" i="6"/>
  <c r="S80" i="6" s="1"/>
  <c r="R98" i="6"/>
  <c r="S117" i="6"/>
  <c r="Q94" i="6"/>
  <c r="R92" i="6"/>
  <c r="R21" i="6"/>
  <c r="P11" i="6"/>
  <c r="R11" i="6"/>
  <c r="P24" i="6"/>
  <c r="R24" i="6"/>
  <c r="P100" i="6"/>
  <c r="R100" i="6"/>
  <c r="P14" i="6"/>
  <c r="N120" i="6"/>
  <c r="R42" i="6"/>
  <c r="P40" i="6"/>
  <c r="P18" i="6"/>
  <c r="R18" i="6"/>
  <c r="Q41" i="6"/>
  <c r="S41" i="6"/>
  <c r="R50" i="6"/>
  <c r="P50" i="6"/>
  <c r="S68" i="6"/>
  <c r="Q68" i="6"/>
  <c r="P29" i="6"/>
  <c r="R39" i="6"/>
  <c r="P58" i="6"/>
  <c r="R101" i="6"/>
  <c r="Q111" i="6"/>
  <c r="Q88" i="6"/>
  <c r="R117" i="6"/>
  <c r="P114" i="6"/>
  <c r="P108" i="6"/>
  <c r="R119" i="6"/>
  <c r="P19" i="6"/>
  <c r="R19" i="6"/>
  <c r="R25" i="6"/>
  <c r="R28" i="6"/>
  <c r="P28" i="6"/>
  <c r="P91" i="6"/>
  <c r="R91" i="6"/>
  <c r="S112" i="6"/>
  <c r="R88" i="6"/>
  <c r="R6" i="6"/>
  <c r="S6" i="6" s="1"/>
  <c r="P10" i="6"/>
  <c r="R13" i="6"/>
  <c r="P13" i="6"/>
  <c r="S42" i="6"/>
  <c r="P46" i="6"/>
  <c r="R46" i="6"/>
  <c r="P51" i="6"/>
  <c r="R51" i="6"/>
  <c r="P66" i="6"/>
  <c r="P75" i="6"/>
  <c r="R75" i="6"/>
  <c r="P57" i="6"/>
  <c r="R57" i="6"/>
  <c r="P115" i="6"/>
  <c r="R115" i="6"/>
  <c r="S76" i="6" l="1"/>
  <c r="S97" i="6"/>
  <c r="Q106" i="6"/>
  <c r="S67" i="6"/>
  <c r="Q119" i="6"/>
  <c r="S39" i="6"/>
  <c r="S44" i="6"/>
  <c r="Q92" i="6"/>
  <c r="S87" i="6"/>
  <c r="S104" i="6"/>
  <c r="S9" i="6"/>
  <c r="S59" i="6"/>
  <c r="S83" i="6"/>
  <c r="T100" i="7"/>
  <c r="T81" i="7"/>
  <c r="J100" i="7"/>
  <c r="L100" i="7"/>
  <c r="J81" i="7"/>
  <c r="L81" i="7"/>
  <c r="AA66" i="7"/>
  <c r="Z15" i="7"/>
  <c r="AA15" i="7"/>
  <c r="AA51" i="7"/>
  <c r="Z49" i="7"/>
  <c r="AA49" i="7"/>
  <c r="AA8" i="7"/>
  <c r="Z86" i="7"/>
  <c r="AA86" i="7"/>
  <c r="Z10" i="7"/>
  <c r="U49" i="7"/>
  <c r="W49" i="7" s="1"/>
  <c r="Y49" i="7" s="1"/>
  <c r="Z8" i="7"/>
  <c r="U75" i="7"/>
  <c r="W75" i="7" s="1"/>
  <c r="Y75" i="7" s="1"/>
  <c r="Z75" i="7"/>
  <c r="U55" i="7"/>
  <c r="W55" i="7" s="1"/>
  <c r="Y55" i="7" s="1"/>
  <c r="Z55" i="7"/>
  <c r="U42" i="7"/>
  <c r="W42" i="7" s="1"/>
  <c r="Z42" i="7"/>
  <c r="U60" i="7"/>
  <c r="X60" i="7" s="1"/>
  <c r="Z60" i="7"/>
  <c r="Z66" i="7"/>
  <c r="U69" i="7"/>
  <c r="W69" i="7" s="1"/>
  <c r="Y69" i="7" s="1"/>
  <c r="Z69" i="7"/>
  <c r="U45" i="7"/>
  <c r="W45" i="7" s="1"/>
  <c r="Y45" i="7" s="1"/>
  <c r="Z45" i="7"/>
  <c r="U14" i="7"/>
  <c r="W14" i="7" s="1"/>
  <c r="Y14" i="7" s="1"/>
  <c r="Z14" i="7"/>
  <c r="U53" i="7"/>
  <c r="W53" i="7" s="1"/>
  <c r="Y53" i="7" s="1"/>
  <c r="Z53" i="7"/>
  <c r="U9" i="7"/>
  <c r="W9" i="7" s="1"/>
  <c r="Y9" i="7" s="1"/>
  <c r="Z9" i="7"/>
  <c r="U40" i="7"/>
  <c r="W40" i="7" s="1"/>
  <c r="Z40" i="7"/>
  <c r="U105" i="7"/>
  <c r="W105" i="7" s="1"/>
  <c r="Y105" i="7" s="1"/>
  <c r="Z105" i="7"/>
  <c r="U7" i="7"/>
  <c r="X7" i="7" s="1"/>
  <c r="Z7" i="7"/>
  <c r="U84" i="7"/>
  <c r="W84" i="7" s="1"/>
  <c r="Y84" i="7" s="1"/>
  <c r="Z84" i="7"/>
  <c r="U32" i="7"/>
  <c r="W32" i="7" s="1"/>
  <c r="Y32" i="7" s="1"/>
  <c r="Z32" i="7"/>
  <c r="U89" i="7"/>
  <c r="W89" i="7" s="1"/>
  <c r="Y89" i="7" s="1"/>
  <c r="Z89" i="7"/>
  <c r="U96" i="7"/>
  <c r="W96" i="7" s="1"/>
  <c r="Y96" i="7" s="1"/>
  <c r="Z96" i="7"/>
  <c r="Z51" i="7"/>
  <c r="U18" i="7"/>
  <c r="W18" i="7" s="1"/>
  <c r="Y18" i="7" s="1"/>
  <c r="Z18" i="7"/>
  <c r="U76" i="7"/>
  <c r="W76" i="7" s="1"/>
  <c r="Y76" i="7" s="1"/>
  <c r="Z76" i="7"/>
  <c r="U86" i="7"/>
  <c r="W86" i="7" s="1"/>
  <c r="Y86" i="7" s="1"/>
  <c r="U8" i="7"/>
  <c r="W8" i="7" s="1"/>
  <c r="Y8" i="7" s="1"/>
  <c r="U66" i="7"/>
  <c r="W66" i="7" s="1"/>
  <c r="Y66" i="7" s="1"/>
  <c r="W3" i="7"/>
  <c r="Y3" i="7" s="1"/>
  <c r="AA72" i="7"/>
  <c r="O72" i="7"/>
  <c r="AA16" i="7"/>
  <c r="O16" i="7"/>
  <c r="AA101" i="7"/>
  <c r="O101" i="7"/>
  <c r="AA103" i="7"/>
  <c r="O103" i="7"/>
  <c r="Q69" i="6"/>
  <c r="S23" i="6"/>
  <c r="Q21" i="6"/>
  <c r="S79" i="6"/>
  <c r="S7" i="6"/>
  <c r="AA87" i="7"/>
  <c r="O87" i="7"/>
  <c r="AA108" i="7"/>
  <c r="O108" i="7"/>
  <c r="AA44" i="7"/>
  <c r="O44" i="7"/>
  <c r="AA68" i="7"/>
  <c r="O68" i="7"/>
  <c r="AA73" i="7"/>
  <c r="O73" i="7"/>
  <c r="O94" i="7"/>
  <c r="AA94" i="7"/>
  <c r="AA56" i="7"/>
  <c r="O56" i="7"/>
  <c r="AA28" i="7"/>
  <c r="O28" i="7"/>
  <c r="AA19" i="7"/>
  <c r="O19" i="7"/>
  <c r="AA102" i="7"/>
  <c r="O102" i="7"/>
  <c r="AA43" i="7"/>
  <c r="O43" i="7"/>
  <c r="AA34" i="7"/>
  <c r="O34" i="7"/>
  <c r="P100" i="7"/>
  <c r="Q100" i="7" s="1"/>
  <c r="AB100" i="7" s="1"/>
  <c r="V100" i="7"/>
  <c r="AA46" i="7"/>
  <c r="O46" i="7"/>
  <c r="AA78" i="7"/>
  <c r="O78" i="7"/>
  <c r="AA92" i="7"/>
  <c r="O92" i="7"/>
  <c r="AA58" i="7"/>
  <c r="O58" i="7"/>
  <c r="AA11" i="7"/>
  <c r="O11" i="7"/>
  <c r="AA109" i="7"/>
  <c r="O109" i="7"/>
  <c r="AA21" i="7"/>
  <c r="O21" i="7"/>
  <c r="AA104" i="7"/>
  <c r="O104" i="7"/>
  <c r="AA6" i="7"/>
  <c r="O6" i="7"/>
  <c r="O5" i="7"/>
  <c r="AA5" i="7"/>
  <c r="Q48" i="6"/>
  <c r="S48" i="6"/>
  <c r="U10" i="7"/>
  <c r="AA33" i="7"/>
  <c r="O33" i="7"/>
  <c r="O65" i="7"/>
  <c r="AA65" i="7"/>
  <c r="AA99" i="7"/>
  <c r="O99" i="7"/>
  <c r="AA61" i="7"/>
  <c r="O61" i="7"/>
  <c r="O24" i="7"/>
  <c r="AA24" i="7"/>
  <c r="AA52" i="7"/>
  <c r="O52" i="7"/>
  <c r="S38" i="6"/>
  <c r="Q77" i="6"/>
  <c r="AA27" i="7"/>
  <c r="O27" i="7"/>
  <c r="AA83" i="7"/>
  <c r="O83" i="7"/>
  <c r="AA36" i="7"/>
  <c r="O36" i="7"/>
  <c r="O26" i="7"/>
  <c r="AA26" i="7"/>
  <c r="AA48" i="7"/>
  <c r="O48" i="7"/>
  <c r="AA80" i="7"/>
  <c r="O80" i="7"/>
  <c r="AA64" i="7"/>
  <c r="O64" i="7"/>
  <c r="AA98" i="7"/>
  <c r="O98" i="7"/>
  <c r="AA13" i="7"/>
  <c r="O13" i="7"/>
  <c r="O111" i="7"/>
  <c r="AA111" i="7"/>
  <c r="AA23" i="7"/>
  <c r="O23" i="7"/>
  <c r="O106" i="7"/>
  <c r="O30" i="7"/>
  <c r="AA85" i="7"/>
  <c r="O85" i="7"/>
  <c r="O38" i="7"/>
  <c r="AA38" i="7"/>
  <c r="O50" i="7"/>
  <c r="AA50" i="7"/>
  <c r="P81" i="7"/>
  <c r="Q81" i="7" s="1"/>
  <c r="AB81" i="7" s="1"/>
  <c r="K121" i="7"/>
  <c r="V81" i="7"/>
  <c r="AA71" i="7"/>
  <c r="O71" i="7"/>
  <c r="O62" i="7"/>
  <c r="AA62" i="7"/>
  <c r="AA54" i="7"/>
  <c r="O54" i="7"/>
  <c r="O17" i="7"/>
  <c r="AA17" i="7"/>
  <c r="AA41" i="7"/>
  <c r="O41" i="7"/>
  <c r="U51" i="7"/>
  <c r="AA37" i="7"/>
  <c r="O37" i="7"/>
  <c r="AA77" i="7"/>
  <c r="O77" i="7"/>
  <c r="O74" i="7"/>
  <c r="AA74" i="7"/>
  <c r="AA95" i="7"/>
  <c r="O95" i="7"/>
  <c r="AA57" i="7"/>
  <c r="O57" i="7"/>
  <c r="AA91" i="7"/>
  <c r="O91" i="7"/>
  <c r="AA4" i="7"/>
  <c r="O4" i="7"/>
  <c r="AA39" i="7"/>
  <c r="O39" i="7"/>
  <c r="AA31" i="7"/>
  <c r="O31" i="7"/>
  <c r="AA82" i="7"/>
  <c r="O82" i="7"/>
  <c r="O67" i="7"/>
  <c r="AA67" i="7"/>
  <c r="O93" i="7"/>
  <c r="AA93" i="7"/>
  <c r="O70" i="7"/>
  <c r="AA70" i="7"/>
  <c r="AA20" i="7"/>
  <c r="O20" i="7"/>
  <c r="Q55" i="6"/>
  <c r="AF120" i="6"/>
  <c r="U15" i="7"/>
  <c r="AA90" i="7"/>
  <c r="O90" i="7"/>
  <c r="AA35" i="7"/>
  <c r="O35" i="7"/>
  <c r="AA25" i="7"/>
  <c r="O25" i="7"/>
  <c r="AA47" i="7"/>
  <c r="O47" i="7"/>
  <c r="AA79" i="7"/>
  <c r="O79" i="7"/>
  <c r="AA63" i="7"/>
  <c r="O63" i="7"/>
  <c r="O97" i="7"/>
  <c r="AA97" i="7"/>
  <c r="AA59" i="7"/>
  <c r="O59" i="7"/>
  <c r="AA12" i="7"/>
  <c r="O12" i="7"/>
  <c r="AA110" i="7"/>
  <c r="O110" i="7"/>
  <c r="AA22" i="7"/>
  <c r="O22" i="7"/>
  <c r="AA88" i="7"/>
  <c r="O88" i="7"/>
  <c r="AA107" i="7"/>
  <c r="O107" i="7"/>
  <c r="S107" i="6"/>
  <c r="S56" i="6"/>
  <c r="P120" i="6"/>
  <c r="Q120" i="6" s="1"/>
  <c r="S60" i="6"/>
  <c r="Q71" i="6"/>
  <c r="S43" i="6"/>
  <c r="Q84" i="6"/>
  <c r="S20" i="6"/>
  <c r="S12" i="6"/>
  <c r="Q12" i="6"/>
  <c r="S78" i="6"/>
  <c r="S15" i="6"/>
  <c r="S102" i="6"/>
  <c r="S96" i="6"/>
  <c r="S49" i="6"/>
  <c r="S8" i="6"/>
  <c r="S105" i="6"/>
  <c r="S5" i="6"/>
  <c r="S103" i="6"/>
  <c r="S93" i="6"/>
  <c r="S85" i="6"/>
  <c r="S109" i="6"/>
  <c r="S37" i="6"/>
  <c r="Q86" i="6"/>
  <c r="Q32" i="6"/>
  <c r="S32" i="6"/>
  <c r="S64" i="6"/>
  <c r="Q113" i="6"/>
  <c r="S33" i="6"/>
  <c r="S118" i="6"/>
  <c r="T60" i="6"/>
  <c r="Q31" i="6"/>
  <c r="S31" i="6"/>
  <c r="T62" i="6"/>
  <c r="Z61" i="6"/>
  <c r="AA61" i="6" s="1"/>
  <c r="T50" i="6"/>
  <c r="Z49" i="6"/>
  <c r="AA49" i="6" s="1"/>
  <c r="Q82" i="6"/>
  <c r="S82" i="6"/>
  <c r="Q16" i="6"/>
  <c r="Q89" i="6"/>
  <c r="S89" i="6"/>
  <c r="Q45" i="6"/>
  <c r="S45" i="6"/>
  <c r="Q30" i="6"/>
  <c r="S30" i="6"/>
  <c r="S63" i="6"/>
  <c r="Q63" i="6"/>
  <c r="Q36" i="6"/>
  <c r="S36" i="6"/>
  <c r="Q34" i="6"/>
  <c r="S34" i="6"/>
  <c r="S47" i="6"/>
  <c r="Q47" i="6"/>
  <c r="Q53" i="6"/>
  <c r="S53" i="6"/>
  <c r="S114" i="6"/>
  <c r="Q114" i="6"/>
  <c r="Q18" i="6"/>
  <c r="S18" i="6"/>
  <c r="Q100" i="6"/>
  <c r="S100" i="6"/>
  <c r="S66" i="6"/>
  <c r="Q66" i="6"/>
  <c r="S91" i="6"/>
  <c r="Q91" i="6"/>
  <c r="Q29" i="6"/>
  <c r="S29" i="6"/>
  <c r="S50" i="6"/>
  <c r="Q50" i="6"/>
  <c r="S17" i="6"/>
  <c r="Q17" i="6"/>
  <c r="X120" i="6"/>
  <c r="V120" i="6"/>
  <c r="Q46" i="6"/>
  <c r="S46" i="6"/>
  <c r="S75" i="6"/>
  <c r="Q75" i="6"/>
  <c r="S51" i="6"/>
  <c r="Q51" i="6"/>
  <c r="Q13" i="6"/>
  <c r="S13" i="6"/>
  <c r="Q40" i="6"/>
  <c r="S40" i="6"/>
  <c r="Q24" i="6"/>
  <c r="S24" i="6"/>
  <c r="Q10" i="6"/>
  <c r="S10" i="6"/>
  <c r="Q58" i="6"/>
  <c r="S58" i="6"/>
  <c r="Q11" i="6"/>
  <c r="S11" i="6"/>
  <c r="S115" i="6"/>
  <c r="Q115" i="6"/>
  <c r="S57" i="6"/>
  <c r="Q57" i="6"/>
  <c r="Q28" i="6"/>
  <c r="S28" i="6"/>
  <c r="S19" i="6"/>
  <c r="Q19" i="6"/>
  <c r="S108" i="6"/>
  <c r="Q108" i="6"/>
  <c r="S14" i="6"/>
  <c r="Q14" i="6"/>
  <c r="Q121" i="7" l="1"/>
  <c r="R121" i="7" s="1"/>
  <c r="X86" i="7"/>
  <c r="X49" i="7"/>
  <c r="Z30" i="7"/>
  <c r="AA30" i="7"/>
  <c r="Z106" i="7"/>
  <c r="AA106" i="7"/>
  <c r="X105" i="7"/>
  <c r="X75" i="7"/>
  <c r="X40" i="7"/>
  <c r="W7" i="7"/>
  <c r="Y7" i="7" s="1"/>
  <c r="X84" i="7"/>
  <c r="X42" i="7"/>
  <c r="X76" i="7"/>
  <c r="X32" i="7"/>
  <c r="U106" i="7"/>
  <c r="W106" i="7" s="1"/>
  <c r="Y106" i="7" s="1"/>
  <c r="X96" i="7"/>
  <c r="X9" i="7"/>
  <c r="X89" i="7"/>
  <c r="X69" i="7"/>
  <c r="X55" i="7"/>
  <c r="U88" i="7"/>
  <c r="W88" i="7" s="1"/>
  <c r="Y88" i="7" s="1"/>
  <c r="Z88" i="7"/>
  <c r="U22" i="7"/>
  <c r="W22" i="7" s="1"/>
  <c r="Y22" i="7" s="1"/>
  <c r="Z22" i="7"/>
  <c r="U12" i="7"/>
  <c r="W12" i="7" s="1"/>
  <c r="Y12" i="7" s="1"/>
  <c r="Z12" i="7"/>
  <c r="U79" i="7"/>
  <c r="X79" i="7" s="1"/>
  <c r="Z79" i="7"/>
  <c r="U25" i="7"/>
  <c r="W25" i="7" s="1"/>
  <c r="Y25" i="7" s="1"/>
  <c r="Z25" i="7"/>
  <c r="U20" i="7"/>
  <c r="W20" i="7" s="1"/>
  <c r="Y20" i="7" s="1"/>
  <c r="Z20" i="7"/>
  <c r="U93" i="7"/>
  <c r="W93" i="7" s="1"/>
  <c r="Y93" i="7" s="1"/>
  <c r="Z93" i="7"/>
  <c r="U91" i="7"/>
  <c r="W91" i="7" s="1"/>
  <c r="Y91" i="7" s="1"/>
  <c r="Z91" i="7"/>
  <c r="U95" i="7"/>
  <c r="W95" i="7" s="1"/>
  <c r="Y95" i="7" s="1"/>
  <c r="Z95" i="7"/>
  <c r="U77" i="7"/>
  <c r="W77" i="7" s="1"/>
  <c r="Z77" i="7"/>
  <c r="U37" i="7"/>
  <c r="X37" i="7" s="1"/>
  <c r="Z37" i="7"/>
  <c r="U23" i="7"/>
  <c r="W23" i="7" s="1"/>
  <c r="Y23" i="7" s="1"/>
  <c r="Z23" i="7"/>
  <c r="U13" i="7"/>
  <c r="W13" i="7" s="1"/>
  <c r="Y13" i="7" s="1"/>
  <c r="Z13" i="7"/>
  <c r="U64" i="7"/>
  <c r="W64" i="7" s="1"/>
  <c r="Y64" i="7" s="1"/>
  <c r="Z64" i="7"/>
  <c r="U48" i="7"/>
  <c r="X48" i="7" s="1"/>
  <c r="Z48" i="7"/>
  <c r="U36" i="7"/>
  <c r="W36" i="7" s="1"/>
  <c r="Y36" i="7" s="1"/>
  <c r="Z36" i="7"/>
  <c r="U27" i="7"/>
  <c r="W27" i="7" s="1"/>
  <c r="Y27" i="7" s="1"/>
  <c r="Z27" i="7"/>
  <c r="U52" i="7"/>
  <c r="W52" i="7" s="1"/>
  <c r="Y52" i="7" s="1"/>
  <c r="Z52" i="7"/>
  <c r="U65" i="7"/>
  <c r="W65" i="7" s="1"/>
  <c r="Y65" i="7" s="1"/>
  <c r="Z65" i="7"/>
  <c r="U6" i="7"/>
  <c r="W6" i="7" s="1"/>
  <c r="Y6" i="7" s="1"/>
  <c r="Z6" i="7"/>
  <c r="U21" i="7"/>
  <c r="W21" i="7" s="1"/>
  <c r="Y21" i="7" s="1"/>
  <c r="Z21" i="7"/>
  <c r="U11" i="7"/>
  <c r="W11" i="7" s="1"/>
  <c r="Y11" i="7" s="1"/>
  <c r="Z11" i="7"/>
  <c r="U92" i="7"/>
  <c r="W92" i="7" s="1"/>
  <c r="Y92" i="7" s="1"/>
  <c r="Z92" i="7"/>
  <c r="U46" i="7"/>
  <c r="W46" i="7" s="1"/>
  <c r="Y46" i="7" s="1"/>
  <c r="Z46" i="7"/>
  <c r="U108" i="7"/>
  <c r="Z108" i="7"/>
  <c r="U87" i="7"/>
  <c r="W87" i="7" s="1"/>
  <c r="Y87" i="7" s="1"/>
  <c r="Z87" i="7"/>
  <c r="U16" i="7"/>
  <c r="W16" i="7" s="1"/>
  <c r="Y16" i="7" s="1"/>
  <c r="Z16" i="7"/>
  <c r="U107" i="7"/>
  <c r="W107" i="7" s="1"/>
  <c r="Y107" i="7" s="1"/>
  <c r="Z107" i="7"/>
  <c r="U30" i="7"/>
  <c r="W30" i="7" s="1"/>
  <c r="Y30" i="7" s="1"/>
  <c r="U82" i="7"/>
  <c r="W82" i="7" s="1"/>
  <c r="Z82" i="7"/>
  <c r="U39" i="7"/>
  <c r="W39" i="7" s="1"/>
  <c r="Y39" i="7" s="1"/>
  <c r="Z39" i="7"/>
  <c r="U4" i="7"/>
  <c r="W4" i="7" s="1"/>
  <c r="Y4" i="7" s="1"/>
  <c r="Z4" i="7"/>
  <c r="U74" i="7"/>
  <c r="W74" i="7" s="1"/>
  <c r="Y74" i="7" s="1"/>
  <c r="Z74" i="7"/>
  <c r="U111" i="7"/>
  <c r="W111" i="7" s="1"/>
  <c r="Y111" i="7" s="1"/>
  <c r="Z111" i="7"/>
  <c r="U26" i="7"/>
  <c r="W26" i="7" s="1"/>
  <c r="Y26" i="7" s="1"/>
  <c r="Z26" i="7"/>
  <c r="U24" i="7"/>
  <c r="W24" i="7" s="1"/>
  <c r="Y24" i="7" s="1"/>
  <c r="Z24" i="7"/>
  <c r="U61" i="7"/>
  <c r="W61" i="7" s="1"/>
  <c r="Y61" i="7" s="1"/>
  <c r="Z61" i="7"/>
  <c r="U5" i="7"/>
  <c r="X5" i="7" s="1"/>
  <c r="Z5" i="7"/>
  <c r="U34" i="7"/>
  <c r="W34" i="7" s="1"/>
  <c r="Y34" i="7" s="1"/>
  <c r="Z34" i="7"/>
  <c r="U43" i="7"/>
  <c r="X43" i="7" s="1"/>
  <c r="Z43" i="7"/>
  <c r="U19" i="7"/>
  <c r="W19" i="7" s="1"/>
  <c r="Y19" i="7" s="1"/>
  <c r="Z19" i="7"/>
  <c r="U56" i="7"/>
  <c r="W56" i="7" s="1"/>
  <c r="Y56" i="7" s="1"/>
  <c r="Z56" i="7"/>
  <c r="U73" i="7"/>
  <c r="W73" i="7" s="1"/>
  <c r="Y73" i="7" s="1"/>
  <c r="Z73" i="7"/>
  <c r="U44" i="7"/>
  <c r="W44" i="7" s="1"/>
  <c r="Y44" i="7" s="1"/>
  <c r="Z44" i="7"/>
  <c r="U110" i="7"/>
  <c r="X110" i="7" s="1"/>
  <c r="Z110" i="7"/>
  <c r="U59" i="7"/>
  <c r="W59" i="7" s="1"/>
  <c r="Y59" i="7" s="1"/>
  <c r="Z59" i="7"/>
  <c r="U63" i="7"/>
  <c r="W63" i="7" s="1"/>
  <c r="Y63" i="7" s="1"/>
  <c r="Z63" i="7"/>
  <c r="U47" i="7"/>
  <c r="W47" i="7" s="1"/>
  <c r="Y47" i="7" s="1"/>
  <c r="Z47" i="7"/>
  <c r="U35" i="7"/>
  <c r="W35" i="7" s="1"/>
  <c r="Y35" i="7" s="1"/>
  <c r="Z35" i="7"/>
  <c r="U90" i="7"/>
  <c r="W90" i="7" s="1"/>
  <c r="Y90" i="7" s="1"/>
  <c r="Z90" i="7"/>
  <c r="U70" i="7"/>
  <c r="W70" i="7" s="1"/>
  <c r="Y70" i="7" s="1"/>
  <c r="Z70" i="7"/>
  <c r="U67" i="7"/>
  <c r="W67" i="7" s="1"/>
  <c r="Y67" i="7" s="1"/>
  <c r="Z67" i="7"/>
  <c r="W60" i="7"/>
  <c r="Y60" i="7" s="1"/>
  <c r="X53" i="7"/>
  <c r="U57" i="7"/>
  <c r="W57" i="7" s="1"/>
  <c r="Y57" i="7" s="1"/>
  <c r="Z57" i="7"/>
  <c r="U41" i="7"/>
  <c r="W41" i="7" s="1"/>
  <c r="Z41" i="7"/>
  <c r="U54" i="7"/>
  <c r="X54" i="7" s="1"/>
  <c r="Z54" i="7"/>
  <c r="U71" i="7"/>
  <c r="W71" i="7" s="1"/>
  <c r="Y71" i="7" s="1"/>
  <c r="Z71" i="7"/>
  <c r="U85" i="7"/>
  <c r="W85" i="7" s="1"/>
  <c r="Y85" i="7" s="1"/>
  <c r="Z85" i="7"/>
  <c r="U98" i="7"/>
  <c r="W98" i="7" s="1"/>
  <c r="Y98" i="7" s="1"/>
  <c r="Z98" i="7"/>
  <c r="U80" i="7"/>
  <c r="W80" i="7" s="1"/>
  <c r="Z80" i="7"/>
  <c r="U83" i="7"/>
  <c r="W83" i="7" s="1"/>
  <c r="Y83" i="7" s="1"/>
  <c r="Z83" i="7"/>
  <c r="U104" i="7"/>
  <c r="X104" i="7" s="1"/>
  <c r="Z104" i="7"/>
  <c r="U109" i="7"/>
  <c r="W109" i="7" s="1"/>
  <c r="Y109" i="7" s="1"/>
  <c r="Z109" i="7"/>
  <c r="U58" i="7"/>
  <c r="W58" i="7" s="1"/>
  <c r="Y58" i="7" s="1"/>
  <c r="Z58" i="7"/>
  <c r="U78" i="7"/>
  <c r="W78" i="7" s="1"/>
  <c r="Z78" i="7"/>
  <c r="U94" i="7"/>
  <c r="W94" i="7" s="1"/>
  <c r="Y94" i="7" s="1"/>
  <c r="Z94" i="7"/>
  <c r="U101" i="7"/>
  <c r="W101" i="7" s="1"/>
  <c r="Y101" i="7" s="1"/>
  <c r="Z101" i="7"/>
  <c r="U72" i="7"/>
  <c r="W72" i="7" s="1"/>
  <c r="Y72" i="7" s="1"/>
  <c r="Z72" i="7"/>
  <c r="X45" i="7"/>
  <c r="X18" i="7"/>
  <c r="U97" i="7"/>
  <c r="W97" i="7" s="1"/>
  <c r="Y97" i="7" s="1"/>
  <c r="Z97" i="7"/>
  <c r="U31" i="7"/>
  <c r="W31" i="7" s="1"/>
  <c r="Y31" i="7" s="1"/>
  <c r="Z31" i="7"/>
  <c r="X8" i="7"/>
  <c r="U17" i="7"/>
  <c r="W17" i="7" s="1"/>
  <c r="Y17" i="7" s="1"/>
  <c r="Z17" i="7"/>
  <c r="U62" i="7"/>
  <c r="X62" i="7" s="1"/>
  <c r="Z62" i="7"/>
  <c r="V121" i="7"/>
  <c r="U50" i="7"/>
  <c r="W50" i="7" s="1"/>
  <c r="Y50" i="7" s="1"/>
  <c r="Z50" i="7"/>
  <c r="U38" i="7"/>
  <c r="W38" i="7" s="1"/>
  <c r="Y38" i="7" s="1"/>
  <c r="Z38" i="7"/>
  <c r="X14" i="7"/>
  <c r="U99" i="7"/>
  <c r="X99" i="7" s="1"/>
  <c r="Z99" i="7"/>
  <c r="U33" i="7"/>
  <c r="W33" i="7" s="1"/>
  <c r="Y33" i="7" s="1"/>
  <c r="Z33" i="7"/>
  <c r="U102" i="7"/>
  <c r="W102" i="7" s="1"/>
  <c r="Y102" i="7" s="1"/>
  <c r="Z102" i="7"/>
  <c r="U28" i="7"/>
  <c r="W28" i="7" s="1"/>
  <c r="Y28" i="7" s="1"/>
  <c r="Z28" i="7"/>
  <c r="U68" i="7"/>
  <c r="W68" i="7" s="1"/>
  <c r="Y68" i="7" s="1"/>
  <c r="Z68" i="7"/>
  <c r="U103" i="7"/>
  <c r="W103" i="7" s="1"/>
  <c r="Y103" i="7" s="1"/>
  <c r="Z103" i="7"/>
  <c r="X66" i="7"/>
  <c r="R81" i="7"/>
  <c r="U81" i="7" s="1"/>
  <c r="W81" i="7" s="1"/>
  <c r="W51" i="7"/>
  <c r="Y51" i="7" s="1"/>
  <c r="X51" i="7"/>
  <c r="R100" i="7"/>
  <c r="U100" i="7" s="1"/>
  <c r="W100" i="7" s="1"/>
  <c r="W10" i="7"/>
  <c r="Y10" i="7" s="1"/>
  <c r="X10" i="7"/>
  <c r="W15" i="7"/>
  <c r="Y15" i="7" s="1"/>
  <c r="X15" i="7"/>
  <c r="T63" i="6"/>
  <c r="Z62" i="6"/>
  <c r="AA62" i="6" s="1"/>
  <c r="T51" i="6"/>
  <c r="Z50" i="6"/>
  <c r="AA50" i="6" s="1"/>
  <c r="AA81" i="7" l="1"/>
  <c r="W48" i="7"/>
  <c r="Y48" i="7" s="1"/>
  <c r="AA100" i="7"/>
  <c r="X21" i="7"/>
  <c r="X65" i="7"/>
  <c r="X82" i="7"/>
  <c r="X97" i="7"/>
  <c r="X98" i="7"/>
  <c r="X78" i="7"/>
  <c r="X47" i="7"/>
  <c r="W37" i="7"/>
  <c r="Y37" i="7" s="1"/>
  <c r="X12" i="7"/>
  <c r="X88" i="7"/>
  <c r="X93" i="7"/>
  <c r="X17" i="7"/>
  <c r="W43" i="7"/>
  <c r="X26" i="7"/>
  <c r="X27" i="7"/>
  <c r="X92" i="7"/>
  <c r="X13" i="7"/>
  <c r="W54" i="7"/>
  <c r="Y54" i="7" s="1"/>
  <c r="X57" i="7"/>
  <c r="X94" i="7"/>
  <c r="X101" i="7"/>
  <c r="X38" i="7"/>
  <c r="X109" i="7"/>
  <c r="X91" i="7"/>
  <c r="X64" i="7"/>
  <c r="X16" i="7"/>
  <c r="W79" i="7"/>
  <c r="W104" i="7"/>
  <c r="Y104" i="7" s="1"/>
  <c r="X63" i="7"/>
  <c r="W62" i="7"/>
  <c r="Y62" i="7" s="1"/>
  <c r="W99" i="7"/>
  <c r="Y99" i="7" s="1"/>
  <c r="X106" i="7"/>
  <c r="X33" i="7"/>
  <c r="X95" i="7"/>
  <c r="X68" i="7"/>
  <c r="X25" i="7"/>
  <c r="X72" i="7"/>
  <c r="X85" i="7"/>
  <c r="X87" i="7"/>
  <c r="X50" i="7"/>
  <c r="X107" i="7"/>
  <c r="X20" i="7"/>
  <c r="X61" i="7"/>
  <c r="X4" i="7"/>
  <c r="X56" i="7"/>
  <c r="X77" i="7"/>
  <c r="X80" i="7"/>
  <c r="X44" i="7"/>
  <c r="X70" i="7"/>
  <c r="X83" i="7"/>
  <c r="X28" i="7"/>
  <c r="X30" i="7"/>
  <c r="W5" i="7"/>
  <c r="Y5" i="7" s="1"/>
  <c r="W110" i="7"/>
  <c r="Y110" i="7" s="1"/>
  <c r="X35" i="7"/>
  <c r="X102" i="7"/>
  <c r="X22" i="7"/>
  <c r="Z100" i="7"/>
  <c r="Z81" i="7"/>
  <c r="X74" i="7"/>
  <c r="X39" i="7"/>
  <c r="X34" i="7"/>
  <c r="X19" i="7"/>
  <c r="X6" i="7"/>
  <c r="X24" i="7"/>
  <c r="X46" i="7"/>
  <c r="X31" i="7"/>
  <c r="X58" i="7"/>
  <c r="X90" i="7"/>
  <c r="X52" i="7"/>
  <c r="X23" i="7"/>
  <c r="X73" i="7"/>
  <c r="X11" i="7"/>
  <c r="X41" i="7"/>
  <c r="X103" i="7"/>
  <c r="X36" i="7"/>
  <c r="X59" i="7"/>
  <c r="X71" i="7"/>
  <c r="X111" i="7"/>
  <c r="X67" i="7"/>
  <c r="W108" i="7"/>
  <c r="X108" i="7"/>
  <c r="X100" i="7"/>
  <c r="X81" i="7"/>
  <c r="T64" i="6"/>
  <c r="Z63" i="6"/>
  <c r="AA63" i="6" s="1"/>
  <c r="Z51" i="6"/>
  <c r="AA51" i="6" s="1"/>
  <c r="T65" i="6" l="1"/>
  <c r="Z64" i="6"/>
  <c r="AA64" i="6" s="1"/>
  <c r="T66" i="6" l="1"/>
  <c r="Z66" i="6" s="1"/>
  <c r="AA66" i="6" s="1"/>
  <c r="Z65" i="6"/>
  <c r="AA65" i="6" s="1"/>
  <c r="T52" i="6"/>
  <c r="Z52" i="6" s="1"/>
  <c r="AA52" i="6" s="1"/>
</calcChain>
</file>

<file path=xl/sharedStrings.xml><?xml version="1.0" encoding="utf-8"?>
<sst xmlns="http://schemas.openxmlformats.org/spreadsheetml/2006/main" count="15003" uniqueCount="700">
  <si>
    <t>Кадастровый квартал</t>
  </si>
  <si>
    <t>Площадь, кв.м.</t>
  </si>
  <si>
    <t>Тип сделки</t>
  </si>
  <si>
    <t>Дата сделки</t>
  </si>
  <si>
    <t>Дата регистрации/ предложения</t>
  </si>
  <si>
    <t>Цена сделки/ предложения, руб.</t>
  </si>
  <si>
    <t>Удельная цена сделки/ предложения, руб./кв.м.</t>
  </si>
  <si>
    <t>Доля в праве на объект недвижимости</t>
  </si>
  <si>
    <t>Ограничения (обременения) вещных прав</t>
  </si>
  <si>
    <t>Наименование</t>
  </si>
  <si>
    <t>Район</t>
  </si>
  <si>
    <t>Город</t>
  </si>
  <si>
    <t>Населенный пункт</t>
  </si>
  <si>
    <t>Улица</t>
  </si>
  <si>
    <t>Номер  этажа</t>
  </si>
  <si>
    <t>Количество объектов в сделке</t>
  </si>
  <si>
    <t>Год ввода в эксплуатацию</t>
  </si>
  <si>
    <t>Авдон</t>
  </si>
  <si>
    <t>Помещение</t>
  </si>
  <si>
    <t>02:47:000000</t>
  </si>
  <si>
    <t>Договор купли-продажи</t>
  </si>
  <si>
    <t>Ипотека</t>
  </si>
  <si>
    <t>Квартира</t>
  </si>
  <si>
    <t>Уфимский</t>
  </si>
  <si>
    <t>60 лет СССР</t>
  </si>
  <si>
    <t>02:47:010101</t>
  </si>
  <si>
    <t>Лесопарковая</t>
  </si>
  <si>
    <t>Молодежная</t>
  </si>
  <si>
    <t>02:47:010111</t>
  </si>
  <si>
    <t>Фрунзе</t>
  </si>
  <si>
    <t>02:47:010109</t>
  </si>
  <si>
    <t>02:47:010103</t>
  </si>
  <si>
    <t>квартира</t>
  </si>
  <si>
    <t>Салавата Юлаева</t>
  </si>
  <si>
    <t>Акъяр</t>
  </si>
  <si>
    <t>02:50:110210</t>
  </si>
  <si>
    <t>Хайбуллинский</t>
  </si>
  <si>
    <t>Акмуллы</t>
  </si>
  <si>
    <t>02:50:110402</t>
  </si>
  <si>
    <t>Газима Шафикова</t>
  </si>
  <si>
    <t>02:50:110211</t>
  </si>
  <si>
    <t>Юбилейная</t>
  </si>
  <si>
    <t>Архангельское</t>
  </si>
  <si>
    <t>02:03:160717</t>
  </si>
  <si>
    <t>Архангельский</t>
  </si>
  <si>
    <t>Чкалова</t>
  </si>
  <si>
    <t>Аскарово</t>
  </si>
  <si>
    <t>02:01:010128</t>
  </si>
  <si>
    <t>Абзелиловский</t>
  </si>
  <si>
    <t>Матросова</t>
  </si>
  <si>
    <t>02:01:010112</t>
  </si>
  <si>
    <t>Учалинская</t>
  </si>
  <si>
    <t>02:01:010206</t>
  </si>
  <si>
    <t>Рауфа Давлетова</t>
  </si>
  <si>
    <t>02:01:010136</t>
  </si>
  <si>
    <t>Шаймуратова</t>
  </si>
  <si>
    <t>Баймак</t>
  </si>
  <si>
    <t>02:73:010725</t>
  </si>
  <si>
    <t>Баймакский</t>
  </si>
  <si>
    <t>Победы</t>
  </si>
  <si>
    <t>02:73:010720</t>
  </si>
  <si>
    <t>С.Юлаева</t>
  </si>
  <si>
    <t>Мира</t>
  </si>
  <si>
    <t>С.Чекмарева</t>
  </si>
  <si>
    <t>помещение</t>
  </si>
  <si>
    <t>02:73:010719</t>
  </si>
  <si>
    <t>02:73:010704</t>
  </si>
  <si>
    <t>Бакалы</t>
  </si>
  <si>
    <t>02:07:010253</t>
  </si>
  <si>
    <t>Бакалинский</t>
  </si>
  <si>
    <t>М.Горького</t>
  </si>
  <si>
    <t>Шакирьянова</t>
  </si>
  <si>
    <t>02:07:000000</t>
  </si>
  <si>
    <t>Школьная</t>
  </si>
  <si>
    <t>02:07:010234</t>
  </si>
  <si>
    <t>Октябрьская</t>
  </si>
  <si>
    <t>Белебей</t>
  </si>
  <si>
    <t>02:63:011510</t>
  </si>
  <si>
    <t>Белебеевский</t>
  </si>
  <si>
    <t>им В.И.Ленина</t>
  </si>
  <si>
    <t>02:63:011001</t>
  </si>
  <si>
    <t>Пролетарская</t>
  </si>
  <si>
    <t>02:63:011504</t>
  </si>
  <si>
    <t>02:63:011513</t>
  </si>
  <si>
    <t>02:63:010312</t>
  </si>
  <si>
    <t>Максимовой</t>
  </si>
  <si>
    <t>02:63:000000</t>
  </si>
  <si>
    <t>02:63:011518</t>
  </si>
  <si>
    <t>02:63:011514</t>
  </si>
  <si>
    <t>02:63:010901</t>
  </si>
  <si>
    <t>Советская</t>
  </si>
  <si>
    <t>02:63:011508</t>
  </si>
  <si>
    <t>Интернациональная</t>
  </si>
  <si>
    <t>02:63:011516</t>
  </si>
  <si>
    <t>Волгоградская</t>
  </si>
  <si>
    <t>02:63:011517</t>
  </si>
  <si>
    <t>Революционеров</t>
  </si>
  <si>
    <t>02:63:011502</t>
  </si>
  <si>
    <t>Лесная</t>
  </si>
  <si>
    <t>02:63:011511</t>
  </si>
  <si>
    <t>02:63:011506</t>
  </si>
  <si>
    <t>Тукаева</t>
  </si>
  <si>
    <t>02:63:012206</t>
  </si>
  <si>
    <t>02:63:011515</t>
  </si>
  <si>
    <t>02:63:010915</t>
  </si>
  <si>
    <t>Свободы</t>
  </si>
  <si>
    <t>02:63:011401</t>
  </si>
  <si>
    <t>02:63:010311</t>
  </si>
  <si>
    <t>Красноармейская</t>
  </si>
  <si>
    <t>Пионерская</t>
  </si>
  <si>
    <t>02:63:011501</t>
  </si>
  <si>
    <t>Буздяк</t>
  </si>
  <si>
    <t>02:16:130133</t>
  </si>
  <si>
    <t>Буздякский</t>
  </si>
  <si>
    <t>Рабочая</t>
  </si>
  <si>
    <t>02:16:130202</t>
  </si>
  <si>
    <t>Уртакульская</t>
  </si>
  <si>
    <t>02:16:130116</t>
  </si>
  <si>
    <t>Дзержинского</t>
  </si>
  <si>
    <t>02:16:130102</t>
  </si>
  <si>
    <t>Спортивная</t>
  </si>
  <si>
    <t>02:16:130125</t>
  </si>
  <si>
    <t>Красная Площадь</t>
  </si>
  <si>
    <t>Бураево</t>
  </si>
  <si>
    <t>02:17:040218</t>
  </si>
  <si>
    <t>Бураевский</t>
  </si>
  <si>
    <t>Космонавтов</t>
  </si>
  <si>
    <t>02:17:040216</t>
  </si>
  <si>
    <t>Ленина</t>
  </si>
  <si>
    <t>02:17:040209</t>
  </si>
  <si>
    <t>Строителей</t>
  </si>
  <si>
    <t>02:17:040213</t>
  </si>
  <si>
    <t>Косыгина</t>
  </si>
  <si>
    <t>М.Гафури</t>
  </si>
  <si>
    <t>02:17:040210</t>
  </si>
  <si>
    <t>Дюртюли</t>
  </si>
  <si>
    <t>02:70:010901</t>
  </si>
  <si>
    <t>Дюртюлинский</t>
  </si>
  <si>
    <t>Садовая</t>
  </si>
  <si>
    <t>02:70:011501</t>
  </si>
  <si>
    <t>02:70:011402</t>
  </si>
  <si>
    <t>02:70:011001</t>
  </si>
  <si>
    <t>Василия Горшкова</t>
  </si>
  <si>
    <t>02:70:011603</t>
  </si>
  <si>
    <t>Назара Наджми</t>
  </si>
  <si>
    <t>Первомайская</t>
  </si>
  <si>
    <t>02:70:011704</t>
  </si>
  <si>
    <t>02:70:011101</t>
  </si>
  <si>
    <t>Электрическая</t>
  </si>
  <si>
    <t>Зиннура Зарипова</t>
  </si>
  <si>
    <t>Караидель</t>
  </si>
  <si>
    <t>02:30:140206</t>
  </si>
  <si>
    <t>Караидельский</t>
  </si>
  <si>
    <t>Северная</t>
  </si>
  <si>
    <t>Кармаскалы</t>
  </si>
  <si>
    <t>02:31:110210</t>
  </si>
  <si>
    <t>Кармаскалинский</t>
  </si>
  <si>
    <t>Кирова</t>
  </si>
  <si>
    <t>02:31:110231</t>
  </si>
  <si>
    <t>Рафикова</t>
  </si>
  <si>
    <t>Центральная</t>
  </si>
  <si>
    <t>02:58:020305</t>
  </si>
  <si>
    <t>Красноусольский</t>
  </si>
  <si>
    <t>02:19:150504</t>
  </si>
  <si>
    <t>Гафурийский</t>
  </si>
  <si>
    <t>02:19:150518</t>
  </si>
  <si>
    <t>Гагарина</t>
  </si>
  <si>
    <t>Киекбаева</t>
  </si>
  <si>
    <t>Калмыкова</t>
  </si>
  <si>
    <t>Кудеевский</t>
  </si>
  <si>
    <t>02:26:020303</t>
  </si>
  <si>
    <t>Иглинский</t>
  </si>
  <si>
    <t>Кумертау</t>
  </si>
  <si>
    <t>02:60:010302</t>
  </si>
  <si>
    <t>Энергетиков</t>
  </si>
  <si>
    <t>02:60:010132</t>
  </si>
  <si>
    <t>Карла Маркса</t>
  </si>
  <si>
    <t>02:60:010152</t>
  </si>
  <si>
    <t>Окружная</t>
  </si>
  <si>
    <t>02:60:010150</t>
  </si>
  <si>
    <t>60 лет БАССР</t>
  </si>
  <si>
    <t>02:60:010144</t>
  </si>
  <si>
    <t>02:60:010133</t>
  </si>
  <si>
    <t>Горького</t>
  </si>
  <si>
    <t>02:60:010136</t>
  </si>
  <si>
    <t>02:60:010301</t>
  </si>
  <si>
    <t>02:60:010125</t>
  </si>
  <si>
    <t>Машиностроителей</t>
  </si>
  <si>
    <t>02:60:010126</t>
  </si>
  <si>
    <t>Гафури</t>
  </si>
  <si>
    <t>02:60:010112</t>
  </si>
  <si>
    <t>Салавата</t>
  </si>
  <si>
    <t>Бабаевская</t>
  </si>
  <si>
    <t>02:60:010103</t>
  </si>
  <si>
    <t>Калинина</t>
  </si>
  <si>
    <t>02:60:010109</t>
  </si>
  <si>
    <t>Шахтостроительная</t>
  </si>
  <si>
    <t>02:60:010138</t>
  </si>
  <si>
    <t>02:60:010130</t>
  </si>
  <si>
    <t>02:60:010137</t>
  </si>
  <si>
    <t>Пушкина</t>
  </si>
  <si>
    <t>02:60:010102</t>
  </si>
  <si>
    <t>02:60:010139</t>
  </si>
  <si>
    <t>02:60:010151</t>
  </si>
  <si>
    <t xml:space="preserve"> квартира</t>
  </si>
  <si>
    <t>02:60:010143</t>
  </si>
  <si>
    <t>02:60:010114</t>
  </si>
  <si>
    <t>Искужина</t>
  </si>
  <si>
    <t>02:60:010104</t>
  </si>
  <si>
    <t>02:60:010113</t>
  </si>
  <si>
    <t>02:60:010504</t>
  </si>
  <si>
    <t>Худайбердина</t>
  </si>
  <si>
    <t>5, 6</t>
  </si>
  <si>
    <t>40 лет Победы</t>
  </si>
  <si>
    <t>Ломоносова</t>
  </si>
  <si>
    <t>02:60:010128</t>
  </si>
  <si>
    <t>этаж цокольный</t>
  </si>
  <si>
    <t>02:60:010105</t>
  </si>
  <si>
    <t>Мелеуз</t>
  </si>
  <si>
    <t>02:68:010503</t>
  </si>
  <si>
    <t>Мелеузовский</t>
  </si>
  <si>
    <t>Бурангулова</t>
  </si>
  <si>
    <t>02:68:010602</t>
  </si>
  <si>
    <t>50 лет ВЛКСМ</t>
  </si>
  <si>
    <t>02:68:010403</t>
  </si>
  <si>
    <t>Смоленская</t>
  </si>
  <si>
    <t>02:68:010502</t>
  </si>
  <si>
    <t>02:68:010402</t>
  </si>
  <si>
    <t>02:68:010615</t>
  </si>
  <si>
    <t>02:68:010612</t>
  </si>
  <si>
    <t>02:68:010811</t>
  </si>
  <si>
    <t>02:68:000000</t>
  </si>
  <si>
    <t>02:68:010614</t>
  </si>
  <si>
    <t>02:68:010613</t>
  </si>
  <si>
    <t>Южная</t>
  </si>
  <si>
    <t>Колхозная</t>
  </si>
  <si>
    <t>02:68:010104</t>
  </si>
  <si>
    <t>Кочеткова</t>
  </si>
  <si>
    <t>31-й</t>
  </si>
  <si>
    <t>Техническая</t>
  </si>
  <si>
    <t>02:68:011112</t>
  </si>
  <si>
    <t>Вохмина</t>
  </si>
  <si>
    <t>02:68:010808</t>
  </si>
  <si>
    <t>Правды</t>
  </si>
  <si>
    <t>02:68:010303</t>
  </si>
  <si>
    <t>32-й</t>
  </si>
  <si>
    <t>02:68:011302</t>
  </si>
  <si>
    <t>Цюрупы</t>
  </si>
  <si>
    <t>3-комнатная квартира</t>
  </si>
  <si>
    <t>02:68:011113</t>
  </si>
  <si>
    <t>Шахтерская</t>
  </si>
  <si>
    <t>1-комнатная квартира</t>
  </si>
  <si>
    <t>Нефтекамск</t>
  </si>
  <si>
    <t>02:66:010106</t>
  </si>
  <si>
    <t>Дорожная</t>
  </si>
  <si>
    <t>02:66:010701</t>
  </si>
  <si>
    <t>02:66:010108</t>
  </si>
  <si>
    <t>Парковая</t>
  </si>
  <si>
    <t>Комсомольский</t>
  </si>
  <si>
    <t>02:66:010705</t>
  </si>
  <si>
    <t>02:66:010109</t>
  </si>
  <si>
    <t>02:66:010612</t>
  </si>
  <si>
    <t>02:66:010602</t>
  </si>
  <si>
    <t>02:66:010102</t>
  </si>
  <si>
    <t>02:66:010111</t>
  </si>
  <si>
    <t>Социалистическая</t>
  </si>
  <si>
    <t>02:66:010105</t>
  </si>
  <si>
    <t>02:66:010706</t>
  </si>
  <si>
    <t>02:66:010104</t>
  </si>
  <si>
    <t>Юбилейный</t>
  </si>
  <si>
    <t>02:66:010101</t>
  </si>
  <si>
    <t>02:66:010107</t>
  </si>
  <si>
    <t>02:66:010103</t>
  </si>
  <si>
    <t>02:66:010113</t>
  </si>
  <si>
    <t>Кувыкина</t>
  </si>
  <si>
    <t>02:66:010112</t>
  </si>
  <si>
    <t>02:66:010603</t>
  </si>
  <si>
    <t>02:66:000000</t>
  </si>
  <si>
    <t>Нефтяников</t>
  </si>
  <si>
    <t>Березовское</t>
  </si>
  <si>
    <t>помещения</t>
  </si>
  <si>
    <t>02:66:010433</t>
  </si>
  <si>
    <t>02:66:010476</t>
  </si>
  <si>
    <t>Трактовая</t>
  </si>
  <si>
    <t>02:66:010201</t>
  </si>
  <si>
    <t>5, этаж мансардный</t>
  </si>
  <si>
    <t>Новобелокатай</t>
  </si>
  <si>
    <t>02:10:070104</t>
  </si>
  <si>
    <t>Белокатайский</t>
  </si>
  <si>
    <t>Перспективная</t>
  </si>
  <si>
    <t>02:10:070102</t>
  </si>
  <si>
    <t>Мажита Гафури</t>
  </si>
  <si>
    <t>02:10:070101</t>
  </si>
  <si>
    <t>Красная Горка</t>
  </si>
  <si>
    <t>02:10:070103</t>
  </si>
  <si>
    <t>Салават</t>
  </si>
  <si>
    <t>02:59:070311</t>
  </si>
  <si>
    <t>Уфимская</t>
  </si>
  <si>
    <t>02:59:070303</t>
  </si>
  <si>
    <t>Островского</t>
  </si>
  <si>
    <t>02:59:070312</t>
  </si>
  <si>
    <t>02:59:070133</t>
  </si>
  <si>
    <t>Пархоменко</t>
  </si>
  <si>
    <t>02:59:070302</t>
  </si>
  <si>
    <t>02:59:070310</t>
  </si>
  <si>
    <t>02:59:070306</t>
  </si>
  <si>
    <t>02:59:070309</t>
  </si>
  <si>
    <t>02:59:070304</t>
  </si>
  <si>
    <t>Юлаева</t>
  </si>
  <si>
    <t>02:59:070315</t>
  </si>
  <si>
    <t>02:59:070314</t>
  </si>
  <si>
    <t>Губкина</t>
  </si>
  <si>
    <t>02:59:070308</t>
  </si>
  <si>
    <t>02:59:070313</t>
  </si>
  <si>
    <t>Бочкарева</t>
  </si>
  <si>
    <t>02:59:070305</t>
  </si>
  <si>
    <t>02:59:070301</t>
  </si>
  <si>
    <t>02:59:000000</t>
  </si>
  <si>
    <t>02:59:070140</t>
  </si>
  <si>
    <t>02:59:070307</t>
  </si>
  <si>
    <t>02:59:070132</t>
  </si>
  <si>
    <t>02:59:010101</t>
  </si>
  <si>
    <t>02:59:070316</t>
  </si>
  <si>
    <t>Бекетова</t>
  </si>
  <si>
    <t>30 лет Победы</t>
  </si>
  <si>
    <t>02:59:070102</t>
  </si>
  <si>
    <t>02:59:070117</t>
  </si>
  <si>
    <t>этаж мансардный</t>
  </si>
  <si>
    <t>02:59:070141</t>
  </si>
  <si>
    <t>Пугачева</t>
  </si>
  <si>
    <t>Губайдуллина</t>
  </si>
  <si>
    <t>02:59:070105</t>
  </si>
  <si>
    <t>02:59:070127</t>
  </si>
  <si>
    <t>02:59:070104</t>
  </si>
  <si>
    <t>Революционная</t>
  </si>
  <si>
    <t>Хмельницкого</t>
  </si>
  <si>
    <t>Чапаева</t>
  </si>
  <si>
    <t>Сибай</t>
  </si>
  <si>
    <t>02:61:011201</t>
  </si>
  <si>
    <t>02:61:010906</t>
  </si>
  <si>
    <t>Заки Валиди</t>
  </si>
  <si>
    <t>02:61:010905</t>
  </si>
  <si>
    <t>02:61:010907</t>
  </si>
  <si>
    <t>Белова</t>
  </si>
  <si>
    <t>Коммунистическая</t>
  </si>
  <si>
    <t>Горняков</t>
  </si>
  <si>
    <t>Индустриальное</t>
  </si>
  <si>
    <t>02:61:010901</t>
  </si>
  <si>
    <t>02:61:010903</t>
  </si>
  <si>
    <t>02:61:010902</t>
  </si>
  <si>
    <t>Чайковского</t>
  </si>
  <si>
    <t>02:61:010904</t>
  </si>
  <si>
    <t>Ветеранов</t>
  </si>
  <si>
    <t>Лермонтова</t>
  </si>
  <si>
    <t>Интернациональный</t>
  </si>
  <si>
    <t>02:61:000000</t>
  </si>
  <si>
    <t>02:61:011102</t>
  </si>
  <si>
    <t>Мирная</t>
  </si>
  <si>
    <t>Кусимова</t>
  </si>
  <si>
    <t>Туймазы</t>
  </si>
  <si>
    <t>Туймазинский</t>
  </si>
  <si>
    <t>О.Кошевого</t>
  </si>
  <si>
    <t>02:65:011202</t>
  </si>
  <si>
    <t>Комарова</t>
  </si>
  <si>
    <t>02:65:011219</t>
  </si>
  <si>
    <t>02:65:011210</t>
  </si>
  <si>
    <t>02:65:011403</t>
  </si>
  <si>
    <t>02:65:011307</t>
  </si>
  <si>
    <t>70 лет Октября</t>
  </si>
  <si>
    <t>02:65:011223</t>
  </si>
  <si>
    <t>Луначарского</t>
  </si>
  <si>
    <t>02:65:010246</t>
  </si>
  <si>
    <t>Гафурова</t>
  </si>
  <si>
    <t>02:65:011213</t>
  </si>
  <si>
    <t>02:65:010223</t>
  </si>
  <si>
    <t>02:65:010222</t>
  </si>
  <si>
    <t>02:65:011204</t>
  </si>
  <si>
    <t>8 Марта</t>
  </si>
  <si>
    <t>02:65:011211</t>
  </si>
  <si>
    <t>Молодежный</t>
  </si>
  <si>
    <t>02:65:010247</t>
  </si>
  <si>
    <t>02:65:011309</t>
  </si>
  <si>
    <t>02:65:010248</t>
  </si>
  <si>
    <t>Больничная</t>
  </si>
  <si>
    <t>02:65:011203</t>
  </si>
  <si>
    <t>02:65:011207</t>
  </si>
  <si>
    <t>Мичурина</t>
  </si>
  <si>
    <t>02:65:010722</t>
  </si>
  <si>
    <t>Восточный</t>
  </si>
  <si>
    <t>02:65:010202</t>
  </si>
  <si>
    <t>Щербакова</t>
  </si>
  <si>
    <t>02:65:011220</t>
  </si>
  <si>
    <t>02:65:011227</t>
  </si>
  <si>
    <t>Аксакова</t>
  </si>
  <si>
    <t>02:65:011215</t>
  </si>
  <si>
    <t>02:65:011221</t>
  </si>
  <si>
    <t>02:65:010801</t>
  </si>
  <si>
    <t>Поселковая</t>
  </si>
  <si>
    <t>02:65:011214</t>
  </si>
  <si>
    <t>02:65:011224</t>
  </si>
  <si>
    <t>02:65:011218</t>
  </si>
  <si>
    <t>02:65:011909</t>
  </si>
  <si>
    <t>02:65:011201</t>
  </si>
  <si>
    <t>02:65:011216</t>
  </si>
  <si>
    <t>02:65:010250</t>
  </si>
  <si>
    <t>Приречная</t>
  </si>
  <si>
    <t>02:65:011205</t>
  </si>
  <si>
    <t>02:65:011212</t>
  </si>
  <si>
    <t>02:65:011001</t>
  </si>
  <si>
    <t>02:65:010255</t>
  </si>
  <si>
    <t>02:65:010234</t>
  </si>
  <si>
    <t>02:65:010205</t>
  </si>
  <si>
    <t>02:65:010212</t>
  </si>
  <si>
    <t>02:65:011209</t>
  </si>
  <si>
    <t>02:65:010227</t>
  </si>
  <si>
    <t>02:65:011222</t>
  </si>
  <si>
    <t>Чехова</t>
  </si>
  <si>
    <t>Учалы</t>
  </si>
  <si>
    <t>02:67:010110</t>
  </si>
  <si>
    <t>Учалинский</t>
  </si>
  <si>
    <t>02:67:010114</t>
  </si>
  <si>
    <t>02:67:010727</t>
  </si>
  <si>
    <t>Новая</t>
  </si>
  <si>
    <t>02:67:010102</t>
  </si>
  <si>
    <t>02:67:010118</t>
  </si>
  <si>
    <t>02:67:010120</t>
  </si>
  <si>
    <t>Башкортостана</t>
  </si>
  <si>
    <t>Первостроителей</t>
  </si>
  <si>
    <t>Сибайская</t>
  </si>
  <si>
    <t>Ахметгалина</t>
  </si>
  <si>
    <t>02:67:010104</t>
  </si>
  <si>
    <t>Имангуловская</t>
  </si>
  <si>
    <t>Муртазина</t>
  </si>
  <si>
    <t>02:67:010117</t>
  </si>
  <si>
    <t>50 лет Октября</t>
  </si>
  <si>
    <t>Федоровка</t>
  </si>
  <si>
    <t>02:49:161026</t>
  </si>
  <si>
    <t>Федоровский</t>
  </si>
  <si>
    <t>02:49:161031</t>
  </si>
  <si>
    <t>Языково</t>
  </si>
  <si>
    <t>02:14:140113</t>
  </si>
  <si>
    <t>Благоварский</t>
  </si>
  <si>
    <t>02:14:140104</t>
  </si>
  <si>
    <t>Друненкова</t>
  </si>
  <si>
    <t>Янаул</t>
  </si>
  <si>
    <t>02:72:020202</t>
  </si>
  <si>
    <t>Янаульский</t>
  </si>
  <si>
    <t>02:72:020108</t>
  </si>
  <si>
    <t>02:72:020119</t>
  </si>
  <si>
    <t>Некрасова</t>
  </si>
  <si>
    <t>02:72:020106</t>
  </si>
  <si>
    <t>Станционная</t>
  </si>
  <si>
    <t>02:72:020115</t>
  </si>
  <si>
    <t>02:72:010804</t>
  </si>
  <si>
    <t>Кирзаводская</t>
  </si>
  <si>
    <t>Азина</t>
  </si>
  <si>
    <t>02:72:020208</t>
  </si>
  <si>
    <t>02:72:020501</t>
  </si>
  <si>
    <t>02:72:000000</t>
  </si>
  <si>
    <t>02:72:020207</t>
  </si>
  <si>
    <t>02:72:010803</t>
  </si>
  <si>
    <t>Якутова</t>
  </si>
  <si>
    <t>02:72:020405</t>
  </si>
  <si>
    <t>02:72:020116</t>
  </si>
  <si>
    <t>02:72:020502</t>
  </si>
  <si>
    <t>Город / Нас.пункт</t>
  </si>
  <si>
    <t>Общий итог</t>
  </si>
  <si>
    <t>Данные</t>
  </si>
  <si>
    <t>Договора купли-продажи, зарегистрированные в Росреестре за период с 01.10.2016 по 31.03.2017</t>
  </si>
  <si>
    <t>Среднее по полю Удельная цена сделки/ предложения, руб./кв.м.</t>
  </si>
  <si>
    <t>Сумма по полю Цена сделки/ предложения, руб.</t>
  </si>
  <si>
    <t>количество сделок</t>
  </si>
  <si>
    <t>Сумма по полю количество сделок</t>
  </si>
  <si>
    <t>Среднее по полю Площадь, кв.м.</t>
  </si>
  <si>
    <t>Реестр свободных квартир во введенных объектах</t>
  </si>
  <si>
    <t>на 01.04.2017 г.</t>
  </si>
  <si>
    <t>Город, село</t>
  </si>
  <si>
    <t>№
п/п</t>
  </si>
  <si>
    <t>Номер
квартиры</t>
  </si>
  <si>
    <t>Почтовый
номер</t>
  </si>
  <si>
    <t>Секция</t>
  </si>
  <si>
    <t>Этаж</t>
  </si>
  <si>
    <t>Кол-во
комнат</t>
  </si>
  <si>
    <t>Дельта</t>
  </si>
  <si>
    <t>Процент дисконта к цене объекта</t>
  </si>
  <si>
    <t xml:space="preserve"> г. Баймак</t>
  </si>
  <si>
    <t>ул. Победы, д. 7</t>
  </si>
  <si>
    <t xml:space="preserve"> </t>
  </si>
  <si>
    <t xml:space="preserve"> г. Янаул</t>
  </si>
  <si>
    <t>ул. Пархоменко, д.2</t>
  </si>
  <si>
    <t xml:space="preserve"> с. Архангельское</t>
  </si>
  <si>
    <t>ул. Ворошилова, д. 113/1 Б</t>
  </si>
  <si>
    <t xml:space="preserve"> ул. Ворошилова, д. 113/1 Б</t>
  </si>
  <si>
    <t xml:space="preserve"> с. Буздяк</t>
  </si>
  <si>
    <t xml:space="preserve"> мкр. "Южный", ул. Уртакульская, д. 26</t>
  </si>
  <si>
    <t>ул. Чекмарева, д. 3а</t>
  </si>
  <si>
    <t>с. Красноусольский</t>
  </si>
  <si>
    <t>ул. Свердлова, д. 130/3</t>
  </si>
  <si>
    <t xml:space="preserve"> г. Кумертау, с. Маячный</t>
  </si>
  <si>
    <t>ул. Гафури, д. 17 А</t>
  </si>
  <si>
    <t xml:space="preserve"> ул. Уртакульская, д. 28/1</t>
  </si>
  <si>
    <t xml:space="preserve"> г. Учалы</t>
  </si>
  <si>
    <t xml:space="preserve"> ул. М.Горького, д. 19/1, мкр.9</t>
  </si>
  <si>
    <t xml:space="preserve"> г. Мелеуз</t>
  </si>
  <si>
    <t xml:space="preserve"> ул. Ленина, д. 12</t>
  </si>
  <si>
    <t>с. Новобелокатай</t>
  </si>
  <si>
    <t>ул. Школьная, д. 5 А</t>
  </si>
  <si>
    <t xml:space="preserve"> с. Языково, ул. Чапаева, д. 29</t>
  </si>
  <si>
    <t xml:space="preserve"> ул. Чапаева, д. 29</t>
  </si>
  <si>
    <t xml:space="preserve"> с. Красноусольский</t>
  </si>
  <si>
    <t>ул. Садовая, д. 27</t>
  </si>
  <si>
    <t xml:space="preserve"> с. Мишкино</t>
  </si>
  <si>
    <t>ул. Юбилейная, д. 6 б/1</t>
  </si>
  <si>
    <t xml:space="preserve"> г. Кумертау</t>
  </si>
  <si>
    <t>ул. Энергетиков, д. 25, в 6 м на запад</t>
  </si>
  <si>
    <t>с. Кармаскалы</t>
  </si>
  <si>
    <t xml:space="preserve"> с. Ермекеево</t>
  </si>
  <si>
    <t xml:space="preserve"> ул. Школьная, д. 19 (литер 1)</t>
  </si>
  <si>
    <t>г. Белебей</t>
  </si>
  <si>
    <t>ул. Пролетарская, д. 66/9</t>
  </si>
  <si>
    <t xml:space="preserve"> ул. Садовая, д. 27/1</t>
  </si>
  <si>
    <t xml:space="preserve"> с.Буздяк </t>
  </si>
  <si>
    <t xml:space="preserve"> жилой дом №26/1 по ул.Уртакульская</t>
  </si>
  <si>
    <t xml:space="preserve"> с. Красная Горка</t>
  </si>
  <si>
    <t>ул. Мира, д. 11</t>
  </si>
  <si>
    <t>ул. Мира, д. 15</t>
  </si>
  <si>
    <t xml:space="preserve"> с. Наумовка</t>
  </si>
  <si>
    <t xml:space="preserve"> ул. Ленина, д. 35а, литер 2</t>
  </si>
  <si>
    <t xml:space="preserve"> с. Бакалы</t>
  </si>
  <si>
    <t xml:space="preserve"> ул. Шакирьянова, д. 47</t>
  </si>
  <si>
    <t>ул. Школьная, д. 2Б</t>
  </si>
  <si>
    <t>с. Кудеевский, литер 3</t>
  </si>
  <si>
    <t xml:space="preserve"> литер 3</t>
  </si>
  <si>
    <t>с. Караидель</t>
  </si>
  <si>
    <t xml:space="preserve"> г. Сибай</t>
  </si>
  <si>
    <t>ул. Куйбышева, д. 11</t>
  </si>
  <si>
    <t>г. Уфа</t>
  </si>
  <si>
    <t>г. Уфа, Калининский район, ул. Сельская, Литер 6</t>
  </si>
  <si>
    <t>г. Дюртюли</t>
  </si>
  <si>
    <t>ул. Ленина, д. 13А</t>
  </si>
  <si>
    <t xml:space="preserve"> ул. Якутова, д. 5</t>
  </si>
  <si>
    <t>ул. Рафикова, д. 17</t>
  </si>
  <si>
    <t xml:space="preserve"> с. Языково</t>
  </si>
  <si>
    <t xml:space="preserve"> ул. Чапаева, д. 31</t>
  </si>
  <si>
    <t>Стоимость 1 м2 в текущих ценах</t>
  </si>
  <si>
    <t>Стоимость 1 м2 со скидкой до баланса</t>
  </si>
  <si>
    <t>Удельная цена 1 м2 мода</t>
  </si>
  <si>
    <t>Удельная цена 1 м2 медиана</t>
  </si>
  <si>
    <t>Средняя по факту сделок (Росреестр)</t>
  </si>
  <si>
    <t>Цена по акции</t>
  </si>
  <si>
    <t>Процент дисконта</t>
  </si>
  <si>
    <t>Убыток, руб.</t>
  </si>
  <si>
    <t>Цена объекта по акции</t>
  </si>
  <si>
    <t>добавлена</t>
  </si>
  <si>
    <t>готовы покупать и по этим ценам, при условии осушения придомовой территории, подвала</t>
  </si>
  <si>
    <t>Стоимость по цене Госстроя</t>
  </si>
  <si>
    <t>Стоимость по цене риэлторов</t>
  </si>
  <si>
    <t>Стоимость по цене по данным сайтов Росреесра+Авито</t>
  </si>
  <si>
    <t>тираж буклета</t>
  </si>
  <si>
    <t>всего 128 квартира</t>
  </si>
  <si>
    <t>убыток</t>
  </si>
  <si>
    <t>Затраты на ремонт</t>
  </si>
  <si>
    <t>1 кв.м.</t>
  </si>
  <si>
    <t>№пп</t>
  </si>
  <si>
    <t>Площадь помещений, м2 с уч. коэфф. лоджий и балконов</t>
  </si>
  <si>
    <t>Цена реализации, руб.</t>
  </si>
  <si>
    <t>Балансовая стоимость квартир, руб.</t>
  </si>
  <si>
    <t>Цена объекта по акции, руб.</t>
  </si>
  <si>
    <t>Процент дисконта к существующей цене,%</t>
  </si>
  <si>
    <t>Процент дисконта к балансу,%</t>
  </si>
  <si>
    <t>Расчетный убыток без учета услуг риелторов и ремонта, рекламы, руб.</t>
  </si>
  <si>
    <t>ИТОГО</t>
  </si>
  <si>
    <t>Цена за 1 м2 (акция), руб/м2</t>
  </si>
  <si>
    <t>Цена объекта по акции с учетом макс дисконта 20%, руб.</t>
  </si>
  <si>
    <t>Платеж по найму с выкупом</t>
  </si>
  <si>
    <t>Платеж по стандартной ипотеке (9,4%, 15 лет, ПВ 10%) по квартирам с дисконтом</t>
  </si>
  <si>
    <t>Необходимый дисконт от исход цены</t>
  </si>
  <si>
    <t>контроль</t>
  </si>
  <si>
    <t>Итоговая цена для выкупа с наймом (в случае необходимости дисконтирования)</t>
  </si>
  <si>
    <t>К балансу</t>
  </si>
  <si>
    <t>Мертвые</t>
  </si>
  <si>
    <t>пробл</t>
  </si>
  <si>
    <t>Превышение найма с выкупом над реализацией</t>
  </si>
  <si>
    <t>Цена реализации, руб.
сейчас</t>
  </si>
  <si>
    <t>% скидки</t>
  </si>
  <si>
    <t>Превышение баланса в сделках найма</t>
  </si>
  <si>
    <t>Цена реализации по найму с выкупом</t>
  </si>
  <si>
    <t>Названия строк</t>
  </si>
  <si>
    <t>Сумма по полю прибыль/убыток</t>
  </si>
  <si>
    <t xml:space="preserve">Баймак </t>
  </si>
  <si>
    <t>Прибыль</t>
  </si>
  <si>
    <t>с.Архангельское</t>
  </si>
  <si>
    <t>с.Красноусольский 27/1</t>
  </si>
  <si>
    <t>с.Красноусольский 27</t>
  </si>
  <si>
    <t>Убыток от акции</t>
  </si>
  <si>
    <t>Объект</t>
  </si>
  <si>
    <t>№</t>
  </si>
  <si>
    <t>Прибыль/убыток</t>
  </si>
  <si>
    <t>ПВ 2%</t>
  </si>
  <si>
    <t>номер квартиры</t>
  </si>
  <si>
    <t>этаж</t>
  </si>
  <si>
    <t xml:space="preserve"> ул. Школьная, д. 19 </t>
  </si>
  <si>
    <t>ул. Садовая, д. 17</t>
  </si>
  <si>
    <t>ул. Ворошилова, д.113/1 Б</t>
  </si>
  <si>
    <t xml:space="preserve"> ул.Ворошилова, д.113/1 Б</t>
  </si>
  <si>
    <t>ул. Энергетиков, д. 25а</t>
  </si>
  <si>
    <t xml:space="preserve">ул. Школьная, д. 19 </t>
  </si>
  <si>
    <t>ул. Шакирьянова, д. 47</t>
  </si>
  <si>
    <t>ул.Пролетарская, д.66/9</t>
  </si>
  <si>
    <t xml:space="preserve"> г. Белебей</t>
  </si>
  <si>
    <t>г.Дюртюли</t>
  </si>
  <si>
    <t>с.Абызово</t>
  </si>
  <si>
    <t>ул.Вавилова,д.22</t>
  </si>
  <si>
    <t>с.Бураево</t>
  </si>
  <si>
    <t>ул.Юбилейная, д.43</t>
  </si>
  <si>
    <t>ул.Юбилейная, д.45</t>
  </si>
  <si>
    <t>г.Белорецк</t>
  </si>
  <si>
    <t>ул.Шаймуратова, д.3</t>
  </si>
  <si>
    <t>13</t>
  </si>
  <si>
    <t>15</t>
  </si>
  <si>
    <t>22</t>
  </si>
  <si>
    <t>24</t>
  </si>
  <si>
    <t>08</t>
  </si>
  <si>
    <t>16</t>
  </si>
  <si>
    <t>18</t>
  </si>
  <si>
    <t>25</t>
  </si>
  <si>
    <t>27</t>
  </si>
  <si>
    <t>12</t>
  </si>
  <si>
    <t>19</t>
  </si>
  <si>
    <t>21</t>
  </si>
  <si>
    <t>28</t>
  </si>
  <si>
    <t>30</t>
  </si>
  <si>
    <t>1</t>
  </si>
  <si>
    <t>2</t>
  </si>
  <si>
    <t>3</t>
  </si>
  <si>
    <t>ул.Ф.Зайлалова, д.10</t>
  </si>
  <si>
    <t>4</t>
  </si>
  <si>
    <t>5</t>
  </si>
  <si>
    <t>с.Мишкино</t>
  </si>
  <si>
    <t>с.Наумовка</t>
  </si>
  <si>
    <t>ул.Ленина, д.35А</t>
  </si>
  <si>
    <t>с.Павловка</t>
  </si>
  <si>
    <t>ул.Графтио, д.17</t>
  </si>
  <si>
    <t>г.Сибай</t>
  </si>
  <si>
    <t>Индустриальное шоссе, д.16</t>
  </si>
  <si>
    <t>г.Уфа</t>
  </si>
  <si>
    <t>ул.Апрельская, д.19</t>
  </si>
  <si>
    <t>ул.Ворошилова,д.113/1Б</t>
  </si>
  <si>
    <t>Цена реализации по приказу 140-о от 10.05.2018</t>
  </si>
  <si>
    <t>с. Архангельское</t>
  </si>
  <si>
    <t>с. Ермекеево</t>
  </si>
  <si>
    <t>г.Баймак</t>
  </si>
  <si>
    <t>с.Языково</t>
  </si>
  <si>
    <t>ул. Победы, д.7</t>
  </si>
  <si>
    <t>ул. Ленина, д. 35А</t>
  </si>
  <si>
    <t>ул. Чапаева, д. 31</t>
  </si>
  <si>
    <t>г.Салават</t>
  </si>
  <si>
    <t>ул.Калинина, д.108</t>
  </si>
  <si>
    <t>7</t>
  </si>
  <si>
    <t>10</t>
  </si>
  <si>
    <t>14</t>
  </si>
  <si>
    <t>17</t>
  </si>
  <si>
    <t>29</t>
  </si>
  <si>
    <t>31</t>
  </si>
  <si>
    <t>33</t>
  </si>
  <si>
    <t>34</t>
  </si>
  <si>
    <t>42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</si>
  <si>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</si>
  <si>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</si>
  <si>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</si>
  <si>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</si>
  <si>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</si>
  <si>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</si>
  <si>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</si>
  <si>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</si>
  <si>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</si>
  <si>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</si>
  <si>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</si>
  <si>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</si>
  <si>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</si>
  <si>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</si>
  <si>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60</t>
  </si>
  <si>
    <t>61</t>
  </si>
  <si>
    <t>62</t>
  </si>
  <si>
    <t>63</t>
  </si>
  <si>
    <t>64</t>
  </si>
  <si>
    <t>Цена объекта по акции  руб.</t>
  </si>
  <si>
    <t>для отдельных категорий граждан (статья 20.1)</t>
  </si>
  <si>
    <t>Расчет по стандартной схеме приобретения (за счет собственных средств или ипотека )</t>
  </si>
  <si>
    <t>с черновой отделкой</t>
  </si>
  <si>
    <t>с чистовой отделкой</t>
  </si>
  <si>
    <t>для прочих граждан</t>
  </si>
  <si>
    <t>Макс. возможный убыток по сделке</t>
  </si>
  <si>
    <t>Макс. сумма скидки, руб.</t>
  </si>
  <si>
    <t>Макс. сумма скидки, %</t>
  </si>
  <si>
    <t>г.Учалы</t>
  </si>
  <si>
    <t>ул.Горького, д.2/8</t>
  </si>
  <si>
    <t>реализована</t>
  </si>
  <si>
    <r>
      <rPr>
        <b/>
        <u/>
        <sz val="11"/>
        <color theme="1"/>
        <rFont val="Arial"/>
        <family val="2"/>
        <charset val="204"/>
      </rPr>
      <t>Комментарий по условиям продаж</t>
    </r>
    <r>
      <rPr>
        <b/>
        <sz val="11"/>
        <color theme="1"/>
        <rFont val="Arial"/>
        <family val="2"/>
        <charset val="204"/>
      </rPr>
      <t>:</t>
    </r>
    <r>
      <rPr>
        <sz val="11"/>
        <color theme="1"/>
        <rFont val="Arial"/>
        <family val="2"/>
        <charset val="204"/>
      </rPr>
      <t xml:space="preserve">
Срок действия акции </t>
    </r>
    <r>
      <rPr>
        <b/>
        <sz val="11"/>
        <color theme="1"/>
        <rFont val="Arial"/>
        <family val="2"/>
        <charset val="204"/>
      </rPr>
      <t>до</t>
    </r>
    <r>
      <rPr>
        <sz val="11"/>
        <color theme="1"/>
        <rFont val="Arial"/>
        <family val="2"/>
        <charset val="204"/>
      </rPr>
      <t xml:space="preserve"> </t>
    </r>
    <r>
      <rPr>
        <b/>
        <sz val="11"/>
        <color theme="1"/>
        <rFont val="Arial"/>
        <family val="2"/>
        <charset val="204"/>
      </rPr>
      <t>31.12.2018 г.</t>
    </r>
    <r>
      <rPr>
        <sz val="11"/>
        <color theme="1"/>
        <rFont val="Arial"/>
        <family val="2"/>
        <charset val="204"/>
      </rPr>
      <t xml:space="preserve">
Квартиры приобретаются по сниженной стоимости (с дисконтом).                                                                                                                                                                                                                                                      2 Варианта приобретения:                                                                                                                                                                                                                                                                                 - приобретение за счет собственных денежных средств граждан (100% оплата);                                                                                                                                                                                         - приобретение за счет кредитных (ипотечных) средств банков.                                                                                                                                                                                                                              Возможно использование средств материнского семейного капитала, а также выплат по рождению ребенка.</t>
    </r>
  </si>
  <si>
    <t>Примечание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</si>
</sst>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0.0%"/>
    <numFmt numFmtId="166" formatCode="#,##0_ ;[Red]\-#,##0\ "/>
  </numFmts>
  <fonts count="3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11"/>
      <color theme="1" tint="4.9989318521683403E-2"/>
      <name val="Calibri"/>
      <family val="2"/>
      <charset val="204"/>
      <scheme val="minor"/>
    </font>
    <font>
      <sz val="9"/>
      <color theme="1" tint="4.9989318521683403E-2"/>
      <name val="Arial"/>
      <family val="2"/>
    </font>
    <font>
      <b/>
      <sz val="14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u/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64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8"/>
      </right>
      <top style="thin">
        <color indexed="64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thin">
        <color indexed="8"/>
      </left>
      <right/>
      <top style="medium">
        <color rgb="FF0000FF"/>
      </top>
      <bottom/>
      <diagonal/>
    </border>
    <border>
      <left style="thin">
        <color indexed="65"/>
      </left>
      <right/>
      <top style="medium">
        <color rgb="FF0000FF"/>
      </top>
      <bottom/>
      <diagonal/>
    </border>
    <border>
      <left style="thin">
        <color indexed="65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 style="thin">
        <color indexed="8"/>
      </top>
      <bottom/>
      <diagonal/>
    </border>
    <border>
      <left/>
      <right style="medium">
        <color rgb="FF0000FF"/>
      </right>
      <top style="thin">
        <color indexed="8"/>
      </top>
      <bottom/>
      <diagonal/>
    </border>
    <border>
      <left style="medium">
        <color rgb="FF0000FF"/>
      </left>
      <right style="dotted">
        <color indexed="8"/>
      </right>
      <top style="thin">
        <color indexed="64"/>
      </top>
      <bottom style="dotted">
        <color indexed="8"/>
      </bottom>
      <diagonal/>
    </border>
    <border>
      <left style="dotted">
        <color indexed="8"/>
      </left>
      <right style="medium">
        <color rgb="FF0000FF"/>
      </right>
      <top style="thin">
        <color indexed="64"/>
      </top>
      <bottom style="dotted">
        <color indexed="8"/>
      </bottom>
      <diagonal/>
    </border>
    <border>
      <left style="medium">
        <color rgb="FF0000FF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medium">
        <color rgb="FF0000FF"/>
      </right>
      <top style="dotted">
        <color indexed="8"/>
      </top>
      <bottom style="dotted">
        <color indexed="8"/>
      </bottom>
      <diagonal/>
    </border>
    <border>
      <left style="medium">
        <color rgb="FF0000FF"/>
      </left>
      <right style="dotted">
        <color indexed="8"/>
      </right>
      <top style="dotted">
        <color indexed="8"/>
      </top>
      <bottom style="medium">
        <color rgb="FF0000FF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medium">
        <color rgb="FF0000FF"/>
      </bottom>
      <diagonal/>
    </border>
    <border>
      <left style="dotted">
        <color indexed="8"/>
      </left>
      <right style="medium">
        <color rgb="FF0000FF"/>
      </right>
      <top style="dotted">
        <color indexed="8"/>
      </top>
      <bottom style="medium">
        <color rgb="FF0000FF"/>
      </bottom>
      <diagonal/>
    </border>
    <border>
      <left style="dashed">
        <color rgb="FF0000FF"/>
      </left>
      <right style="dashed">
        <color rgb="FF0000FF"/>
      </right>
      <top style="dashed">
        <color rgb="FF0000FF"/>
      </top>
      <bottom style="dashed">
        <color rgb="FF0000FF"/>
      </bottom>
      <diagonal/>
    </border>
    <border>
      <left style="thin">
        <color indexed="64"/>
      </left>
      <right style="dashed">
        <color rgb="FF0000FF"/>
      </right>
      <top style="dashed">
        <color rgb="FF0000FF"/>
      </top>
      <bottom style="dashed">
        <color rgb="FF0000FF"/>
      </bottom>
      <diagonal/>
    </border>
    <border>
      <left style="dashed">
        <color rgb="FF0000FF"/>
      </left>
      <right style="thin">
        <color indexed="64"/>
      </right>
      <top style="dashed">
        <color rgb="FF0000FF"/>
      </top>
      <bottom style="dashed">
        <color rgb="FF0000FF"/>
      </bottom>
      <diagonal/>
    </border>
    <border>
      <left style="thin">
        <color indexed="64"/>
      </left>
      <right style="dashed">
        <color rgb="FF0000FF"/>
      </right>
      <top style="dashed">
        <color rgb="FF0000FF"/>
      </top>
      <bottom style="thin">
        <color indexed="64"/>
      </bottom>
      <diagonal/>
    </border>
    <border>
      <left style="dashed">
        <color rgb="FF0000FF"/>
      </left>
      <right style="dashed">
        <color rgb="FF0000FF"/>
      </right>
      <top style="dashed">
        <color rgb="FF0000FF"/>
      </top>
      <bottom style="thin">
        <color indexed="64"/>
      </bottom>
      <diagonal/>
    </border>
    <border>
      <left style="dashed">
        <color rgb="FF0000FF"/>
      </left>
      <right style="thin">
        <color indexed="64"/>
      </right>
      <top style="dashed">
        <color rgb="FF0000FF"/>
      </top>
      <bottom style="thin">
        <color indexed="64"/>
      </bottom>
      <diagonal/>
    </border>
    <border>
      <left style="dashed">
        <color rgb="FF0000FF"/>
      </left>
      <right style="dashed">
        <color rgb="FF0000FF"/>
      </right>
      <top style="thin">
        <color indexed="64"/>
      </top>
      <bottom style="dashed">
        <color rgb="FF0000FF"/>
      </bottom>
      <diagonal/>
    </border>
    <border>
      <left style="dashed">
        <color rgb="FF0000FF"/>
      </left>
      <right style="thin">
        <color indexed="64"/>
      </right>
      <top style="thin">
        <color indexed="64"/>
      </top>
      <bottom style="dashed">
        <color rgb="FF0000FF"/>
      </bottom>
      <diagonal/>
    </border>
    <border>
      <left style="dashed">
        <color rgb="FF0000FF"/>
      </left>
      <right style="dashed">
        <color rgb="FF0000FF"/>
      </right>
      <top style="thin">
        <color indexed="64"/>
      </top>
      <bottom/>
      <diagonal/>
    </border>
    <border>
      <left style="dashed">
        <color rgb="FF0000FF"/>
      </left>
      <right style="dashed">
        <color rgb="FF0000FF"/>
      </right>
      <top/>
      <bottom style="dashed">
        <color rgb="FF0000FF"/>
      </bottom>
      <diagonal/>
    </border>
    <border>
      <left style="thin">
        <color indexed="64"/>
      </left>
      <right style="dashed">
        <color rgb="FF0000FF"/>
      </right>
      <top style="thin">
        <color indexed="64"/>
      </top>
      <bottom style="dashed">
        <color rgb="FF0000FF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41" applyNumberFormat="0" applyAlignment="0" applyProtection="0"/>
    <xf numFmtId="0" fontId="6" fillId="9" borderId="42" applyNumberFormat="0" applyAlignment="0" applyProtection="0"/>
    <xf numFmtId="0" fontId="7" fillId="9" borderId="41" applyNumberFormat="0" applyAlignment="0" applyProtection="0"/>
    <xf numFmtId="0" fontId="8" fillId="0" borderId="43" applyNumberFormat="0" applyFill="0" applyAlignment="0" applyProtection="0"/>
    <xf numFmtId="0" fontId="9" fillId="0" borderId="44" applyNumberFormat="0" applyFill="0" applyAlignment="0" applyProtection="0"/>
    <xf numFmtId="0" fontId="10" fillId="0" borderId="4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46" applyNumberFormat="0" applyFill="0" applyAlignment="0" applyProtection="0"/>
    <xf numFmtId="0" fontId="12" fillId="10" borderId="47" applyNumberFormat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" fillId="0" borderId="0"/>
    <xf numFmtId="0" fontId="15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13" borderId="48" applyNumberFormat="0" applyFont="0" applyAlignment="0" applyProtection="0"/>
    <xf numFmtId="0" fontId="17" fillId="0" borderId="49" applyNumberFormat="0" applyFill="0" applyAlignment="0" applyProtection="0"/>
    <xf numFmtId="0" fontId="18" fillId="0" borderId="0" applyNumberFormat="0" applyFill="0" applyBorder="0" applyAlignment="0" applyProtection="0"/>
    <xf numFmtId="0" fontId="19" fillId="14" borderId="0" applyNumberFormat="0" applyBorder="0" applyAlignment="0" applyProtection="0"/>
    <xf numFmtId="9" fontId="3" fillId="0" borderId="0" applyFont="0" applyFill="0" applyBorder="0" applyAlignment="0" applyProtection="0"/>
    <xf numFmtId="0" fontId="29" fillId="0" borderId="0">
      <alignment horizontal="left"/>
    </xf>
  </cellStyleXfs>
  <cellXfs count="321">
    <xf numFmtId="0" fontId="0" fillId="0" borderId="0" xfId="0"/>
    <xf numFmtId="0" fontId="0" fillId="0" borderId="1" xfId="0" applyBorder="1"/>
    <xf numFmtId="17" fontId="0" fillId="0" borderId="1" xfId="0" applyNumberFormat="1" applyBorder="1"/>
    <xf numFmtId="0" fontId="0" fillId="0" borderId="2" xfId="0" applyBorder="1"/>
    <xf numFmtId="0" fontId="11" fillId="15" borderId="3" xfId="0" applyFont="1" applyFill="1" applyBorder="1"/>
    <xf numFmtId="0" fontId="11" fillId="15" borderId="4" xfId="0" applyFont="1" applyFill="1" applyBorder="1"/>
    <xf numFmtId="0" fontId="11" fillId="15" borderId="0" xfId="0" applyFont="1" applyFill="1"/>
    <xf numFmtId="0" fontId="0" fillId="0" borderId="5" xfId="0" applyBorder="1"/>
    <xf numFmtId="17" fontId="0" fillId="0" borderId="5" xfId="0" applyNumberFormat="1" applyBorder="1"/>
    <xf numFmtId="0" fontId="11" fillId="0" borderId="0" xfId="0" applyFont="1"/>
    <xf numFmtId="3" fontId="0" fillId="0" borderId="0" xfId="0" applyNumberFormat="1" applyAlignment="1">
      <alignment wrapText="1"/>
    </xf>
    <xf numFmtId="0" fontId="11" fillId="15" borderId="6" xfId="0" applyFont="1" applyFill="1" applyBorder="1"/>
    <xf numFmtId="0" fontId="11" fillId="15" borderId="7" xfId="0" applyFont="1" applyFill="1" applyBorder="1"/>
    <xf numFmtId="0" fontId="11" fillId="15" borderId="8" xfId="0" applyFont="1" applyFill="1" applyBorder="1"/>
    <xf numFmtId="3" fontId="11" fillId="0" borderId="9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5" xfId="0" applyNumberFormat="1" applyBorder="1"/>
    <xf numFmtId="4" fontId="11" fillId="15" borderId="4" xfId="0" applyNumberFormat="1" applyFont="1" applyFill="1" applyBorder="1"/>
    <xf numFmtId="0" fontId="0" fillId="0" borderId="12" xfId="0" applyBorder="1"/>
    <xf numFmtId="0" fontId="0" fillId="0" borderId="13" xfId="0" applyBorder="1"/>
    <xf numFmtId="17" fontId="0" fillId="0" borderId="13" xfId="0" applyNumberFormat="1" applyBorder="1"/>
    <xf numFmtId="4" fontId="0" fillId="0" borderId="13" xfId="0" applyNumberFormat="1" applyBorder="1"/>
    <xf numFmtId="4" fontId="11" fillId="15" borderId="7" xfId="0" applyNumberFormat="1" applyFont="1" applyFill="1" applyBorder="1"/>
    <xf numFmtId="0" fontId="11" fillId="0" borderId="5" xfId="0" applyFont="1" applyBorder="1"/>
    <xf numFmtId="4" fontId="11" fillId="0" borderId="5" xfId="0" applyNumberFormat="1" applyFont="1" applyBorder="1"/>
    <xf numFmtId="0" fontId="11" fillId="0" borderId="14" xfId="0" applyFont="1" applyBorder="1"/>
    <xf numFmtId="0" fontId="11" fillId="0" borderId="15" xfId="0" applyFont="1" applyBorder="1"/>
    <xf numFmtId="17" fontId="11" fillId="0" borderId="15" xfId="0" applyNumberFormat="1" applyFont="1" applyBorder="1"/>
    <xf numFmtId="4" fontId="11" fillId="0" borderId="15" xfId="0" applyNumberFormat="1" applyFont="1" applyBorder="1"/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15" borderId="4" xfId="0" applyFont="1" applyFill="1" applyBorder="1" applyAlignment="1">
      <alignment horizontal="center"/>
    </xf>
    <xf numFmtId="0" fontId="11" fillId="15" borderId="18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15" borderId="7" xfId="0" applyFont="1" applyFill="1" applyBorder="1" applyAlignment="1">
      <alignment horizontal="center"/>
    </xf>
    <xf numFmtId="0" fontId="11" fillId="15" borderId="8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0" fontId="20" fillId="0" borderId="0" xfId="0" applyFont="1" applyFill="1" applyBorder="1"/>
    <xf numFmtId="4" fontId="0" fillId="0" borderId="0" xfId="0" applyNumberFormat="1" applyFill="1" applyBorder="1"/>
    <xf numFmtId="0" fontId="11" fillId="0" borderId="24" xfId="0" applyFont="1" applyFill="1" applyBorder="1"/>
    <xf numFmtId="0" fontId="0" fillId="0" borderId="25" xfId="0" applyFill="1" applyBorder="1"/>
    <xf numFmtId="4" fontId="0" fillId="0" borderId="25" xfId="0" applyNumberFormat="1" applyFill="1" applyBorder="1"/>
    <xf numFmtId="164" fontId="0" fillId="0" borderId="25" xfId="0" applyNumberFormat="1" applyFill="1" applyBorder="1"/>
    <xf numFmtId="10" fontId="0" fillId="0" borderId="26" xfId="0" applyNumberFormat="1" applyFill="1" applyBorder="1"/>
    <xf numFmtId="4" fontId="0" fillId="0" borderId="25" xfId="0" applyNumberFormat="1" applyFont="1" applyFill="1" applyBorder="1"/>
    <xf numFmtId="0" fontId="11" fillId="0" borderId="24" xfId="0" applyFont="1" applyFill="1" applyBorder="1" applyAlignment="1">
      <alignment wrapText="1"/>
    </xf>
    <xf numFmtId="0" fontId="11" fillId="0" borderId="25" xfId="0" applyFont="1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3" xfId="0" applyFill="1" applyBorder="1"/>
    <xf numFmtId="0" fontId="11" fillId="0" borderId="23" xfId="0" applyFont="1" applyFill="1" applyBorder="1"/>
    <xf numFmtId="4" fontId="11" fillId="0" borderId="23" xfId="0" applyNumberFormat="1" applyFont="1" applyFill="1" applyBorder="1" applyAlignment="1">
      <alignment horizontal="right"/>
    </xf>
    <xf numFmtId="164" fontId="0" fillId="0" borderId="23" xfId="0" applyNumberFormat="1" applyFill="1" applyBorder="1"/>
    <xf numFmtId="10" fontId="0" fillId="0" borderId="27" xfId="0" applyNumberFormat="1" applyFill="1" applyBorder="1"/>
    <xf numFmtId="3" fontId="0" fillId="0" borderId="0" xfId="0" applyNumberFormat="1" applyFill="1" applyBorder="1" applyAlignment="1">
      <alignment wrapText="1" shrinkToFit="1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4" fontId="0" fillId="0" borderId="28" xfId="0" applyNumberFormat="1" applyBorder="1"/>
    <xf numFmtId="0" fontId="0" fillId="0" borderId="28" xfId="0" applyNumberFormat="1" applyBorder="1"/>
    <xf numFmtId="4" fontId="0" fillId="0" borderId="29" xfId="0" applyNumberFormat="1" applyBorder="1"/>
    <xf numFmtId="0" fontId="0" fillId="0" borderId="29" xfId="0" applyNumberFormat="1" applyBorder="1"/>
    <xf numFmtId="3" fontId="0" fillId="0" borderId="30" xfId="0" applyNumberFormat="1" applyBorder="1" applyAlignment="1">
      <alignment wrapText="1"/>
    </xf>
    <xf numFmtId="3" fontId="0" fillId="0" borderId="31" xfId="0" applyNumberFormat="1" applyBorder="1" applyAlignment="1">
      <alignment wrapText="1"/>
    </xf>
    <xf numFmtId="3" fontId="0" fillId="0" borderId="32" xfId="0" applyNumberFormat="1" applyBorder="1" applyAlignment="1">
      <alignment wrapText="1"/>
    </xf>
    <xf numFmtId="3" fontId="0" fillId="0" borderId="33" xfId="0" applyNumberFormat="1" applyBorder="1" applyAlignment="1">
      <alignment horizontal="center" vertical="center" wrapText="1"/>
    </xf>
    <xf numFmtId="165" fontId="0" fillId="0" borderId="0" xfId="0" applyNumberFormat="1" applyFill="1" applyBorder="1" applyAlignment="1">
      <alignment wrapText="1" shrinkToFit="1"/>
    </xf>
    <xf numFmtId="3" fontId="0" fillId="0" borderId="34" xfId="0" applyNumberFormat="1" applyBorder="1" applyAlignment="1">
      <alignment wrapText="1"/>
    </xf>
    <xf numFmtId="3" fontId="0" fillId="0" borderId="35" xfId="0" applyNumberFormat="1" applyBorder="1" applyAlignment="1">
      <alignment wrapText="1"/>
    </xf>
    <xf numFmtId="3" fontId="0" fillId="0" borderId="36" xfId="0" applyNumberFormat="1" applyBorder="1" applyAlignment="1">
      <alignment wrapText="1"/>
    </xf>
    <xf numFmtId="0" fontId="0" fillId="0" borderId="50" xfId="0" applyBorder="1"/>
    <xf numFmtId="0" fontId="0" fillId="0" borderId="51" xfId="0" pivotButton="1" applyBorder="1"/>
    <xf numFmtId="0" fontId="0" fillId="0" borderId="52" xfId="0" applyBorder="1"/>
    <xf numFmtId="0" fontId="0" fillId="0" borderId="53" xfId="0" applyBorder="1"/>
    <xf numFmtId="0" fontId="0" fillId="0" borderId="54" xfId="0" pivotButton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/>
    <xf numFmtId="4" fontId="0" fillId="0" borderId="57" xfId="0" applyNumberFormat="1" applyBorder="1"/>
    <xf numFmtId="0" fontId="0" fillId="0" borderId="58" xfId="0" applyBorder="1"/>
    <xf numFmtId="4" fontId="0" fillId="0" borderId="59" xfId="0" applyNumberFormat="1" applyBorder="1"/>
    <xf numFmtId="0" fontId="0" fillId="16" borderId="58" xfId="0" applyFill="1" applyBorder="1"/>
    <xf numFmtId="0" fontId="21" fillId="0" borderId="60" xfId="0" applyFont="1" applyBorder="1"/>
    <xf numFmtId="4" fontId="21" fillId="0" borderId="61" xfId="0" applyNumberFormat="1" applyFont="1" applyBorder="1"/>
    <xf numFmtId="0" fontId="21" fillId="0" borderId="61" xfId="0" applyNumberFormat="1" applyFont="1" applyBorder="1"/>
    <xf numFmtId="4" fontId="21" fillId="0" borderId="62" xfId="0" applyNumberFormat="1" applyFont="1" applyBorder="1"/>
    <xf numFmtId="166" fontId="0" fillId="0" borderId="0" xfId="0" applyNumberFormat="1" applyFill="1" applyBorder="1" applyAlignment="1">
      <alignment wrapText="1" shrinkToFit="1"/>
    </xf>
    <xf numFmtId="3" fontId="0" fillId="0" borderId="63" xfId="0" applyNumberFormat="1" applyFill="1" applyBorder="1" applyAlignment="1">
      <alignment wrapText="1" shrinkToFit="1"/>
    </xf>
    <xf numFmtId="165" fontId="0" fillId="0" borderId="63" xfId="0" applyNumberFormat="1" applyFill="1" applyBorder="1" applyAlignment="1">
      <alignment wrapText="1" shrinkToFit="1"/>
    </xf>
    <xf numFmtId="3" fontId="0" fillId="0" borderId="64" xfId="0" applyNumberFormat="1" applyFill="1" applyBorder="1" applyAlignment="1">
      <alignment wrapText="1" shrinkToFit="1"/>
    </xf>
    <xf numFmtId="166" fontId="0" fillId="0" borderId="65" xfId="0" applyNumberFormat="1" applyFill="1" applyBorder="1" applyAlignment="1">
      <alignment wrapText="1" shrinkToFit="1"/>
    </xf>
    <xf numFmtId="3" fontId="0" fillId="0" borderId="66" xfId="0" applyNumberFormat="1" applyFill="1" applyBorder="1" applyAlignment="1">
      <alignment wrapText="1" shrinkToFit="1"/>
    </xf>
    <xf numFmtId="3" fontId="0" fillId="0" borderId="67" xfId="0" applyNumberFormat="1" applyFill="1" applyBorder="1" applyAlignment="1">
      <alignment wrapText="1" shrinkToFit="1"/>
    </xf>
    <xf numFmtId="165" fontId="0" fillId="0" borderId="67" xfId="0" applyNumberFormat="1" applyFill="1" applyBorder="1" applyAlignment="1">
      <alignment wrapText="1" shrinkToFit="1"/>
    </xf>
    <xf numFmtId="3" fontId="0" fillId="17" borderId="63" xfId="0" applyNumberFormat="1" applyFill="1" applyBorder="1" applyAlignment="1">
      <alignment wrapText="1" shrinkToFit="1"/>
    </xf>
    <xf numFmtId="4" fontId="2" fillId="17" borderId="25" xfId="18" applyNumberFormat="1" applyFont="1" applyFill="1" applyBorder="1" applyAlignment="1">
      <alignment horizontal="center" vertical="top" wrapText="1"/>
    </xf>
    <xf numFmtId="4" fontId="22" fillId="17" borderId="25" xfId="0" applyNumberFormat="1" applyFont="1" applyFill="1" applyBorder="1" applyAlignment="1">
      <alignment horizontal="center"/>
    </xf>
    <xf numFmtId="4" fontId="23" fillId="17" borderId="25" xfId="18" applyNumberFormat="1" applyFont="1" applyFill="1" applyBorder="1" applyAlignment="1">
      <alignment horizontal="center" vertical="top" wrapText="1"/>
    </xf>
    <xf numFmtId="4" fontId="0" fillId="17" borderId="25" xfId="0" applyNumberFormat="1" applyFill="1" applyBorder="1" applyAlignment="1">
      <alignment horizontal="center"/>
    </xf>
    <xf numFmtId="3" fontId="11" fillId="0" borderId="67" xfId="0" applyNumberFormat="1" applyFont="1" applyFill="1" applyBorder="1" applyAlignment="1">
      <alignment wrapText="1" shrinkToFit="1"/>
    </xf>
    <xf numFmtId="166" fontId="11" fillId="0" borderId="68" xfId="0" applyNumberFormat="1" applyFont="1" applyFill="1" applyBorder="1" applyAlignment="1">
      <alignment wrapText="1" shrinkToFit="1"/>
    </xf>
    <xf numFmtId="0" fontId="0" fillId="0" borderId="0" xfId="0" applyFill="1" applyBorder="1" applyAlignment="1">
      <alignment horizontal="center"/>
    </xf>
    <xf numFmtId="0" fontId="0" fillId="18" borderId="37" xfId="0" applyFill="1" applyBorder="1" applyAlignment="1">
      <alignment wrapText="1"/>
    </xf>
    <xf numFmtId="0" fontId="0" fillId="0" borderId="1" xfId="0" applyFill="1" applyBorder="1"/>
    <xf numFmtId="3" fontId="0" fillId="19" borderId="63" xfId="0" applyNumberFormat="1" applyFill="1" applyBorder="1" applyAlignment="1">
      <alignment wrapText="1" shrinkToFit="1"/>
    </xf>
    <xf numFmtId="165" fontId="0" fillId="19" borderId="63" xfId="0" applyNumberFormat="1" applyFill="1" applyBorder="1" applyAlignment="1">
      <alignment wrapText="1" shrinkToFit="1"/>
    </xf>
    <xf numFmtId="166" fontId="0" fillId="19" borderId="65" xfId="0" applyNumberFormat="1" applyFill="1" applyBorder="1" applyAlignment="1">
      <alignment wrapText="1" shrinkToFit="1"/>
    </xf>
    <xf numFmtId="0" fontId="0" fillId="19" borderId="1" xfId="0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/>
    <xf numFmtId="0" fontId="0" fillId="0" borderId="7" xfId="0" applyBorder="1" applyAlignment="1"/>
    <xf numFmtId="4" fontId="0" fillId="0" borderId="1" xfId="0" applyNumberFormat="1" applyFill="1" applyBorder="1"/>
    <xf numFmtId="4" fontId="0" fillId="19" borderId="1" xfId="0" applyNumberFormat="1" applyFill="1" applyBorder="1"/>
    <xf numFmtId="4" fontId="0" fillId="20" borderId="5" xfId="0" applyNumberFormat="1" applyFill="1" applyBorder="1" applyAlignment="1">
      <alignment horizontal="center" vertical="center" wrapText="1"/>
    </xf>
    <xf numFmtId="4" fontId="0" fillId="20" borderId="7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21" borderId="1" xfId="0" applyNumberFormat="1" applyFill="1" applyBorder="1"/>
    <xf numFmtId="164" fontId="0" fillId="0" borderId="0" xfId="0" applyNumberFormat="1" applyFill="1" applyBorder="1"/>
    <xf numFmtId="0" fontId="26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4" fontId="26" fillId="0" borderId="0" xfId="0" applyNumberFormat="1" applyFont="1" applyAlignment="1">
      <alignment vertical="center" wrapText="1"/>
    </xf>
    <xf numFmtId="4" fontId="27" fillId="0" borderId="83" xfId="0" applyNumberFormat="1" applyFont="1" applyBorder="1" applyAlignment="1">
      <alignment vertical="center" wrapText="1"/>
    </xf>
    <xf numFmtId="4" fontId="27" fillId="0" borderId="0" xfId="0" applyNumberFormat="1" applyFont="1" applyAlignment="1">
      <alignment vertical="center" wrapText="1"/>
    </xf>
    <xf numFmtId="0" fontId="26" fillId="21" borderId="80" xfId="0" applyNumberFormat="1" applyFont="1" applyFill="1" applyBorder="1" applyAlignment="1">
      <alignment horizontal="center" vertical="center" wrapText="1"/>
    </xf>
    <xf numFmtId="4" fontId="26" fillId="21" borderId="80" xfId="0" applyNumberFormat="1" applyFont="1" applyFill="1" applyBorder="1" applyAlignment="1">
      <alignment horizontal="center" vertical="center" wrapText="1"/>
    </xf>
    <xf numFmtId="0" fontId="26" fillId="21" borderId="84" xfId="0" applyNumberFormat="1" applyFont="1" applyFill="1" applyBorder="1" applyAlignment="1">
      <alignment horizontal="center" vertical="center" wrapText="1"/>
    </xf>
    <xf numFmtId="0" fontId="26" fillId="21" borderId="81" xfId="0" applyNumberFormat="1" applyFont="1" applyFill="1" applyBorder="1" applyAlignment="1">
      <alignment horizontal="center" vertical="center" wrapText="1"/>
    </xf>
    <xf numFmtId="4" fontId="27" fillId="0" borderId="91" xfId="0" applyNumberFormat="1" applyFont="1" applyBorder="1" applyAlignment="1">
      <alignment vertical="center" wrapText="1"/>
    </xf>
    <xf numFmtId="4" fontId="26" fillId="18" borderId="80" xfId="0" applyNumberFormat="1" applyFont="1" applyFill="1" applyBorder="1" applyAlignment="1">
      <alignment horizontal="center" vertical="center" wrapText="1"/>
    </xf>
    <xf numFmtId="0" fontId="27" fillId="0" borderId="88" xfId="0" applyNumberFormat="1" applyFont="1" applyBorder="1" applyAlignment="1">
      <alignment horizontal="center" vertical="center" wrapText="1"/>
    </xf>
    <xf numFmtId="4" fontId="26" fillId="22" borderId="80" xfId="0" applyNumberFormat="1" applyFont="1" applyFill="1" applyBorder="1" applyAlignment="1">
      <alignment horizontal="center" vertical="center" wrapText="1"/>
    </xf>
    <xf numFmtId="4" fontId="26" fillId="22" borderId="85" xfId="0" applyNumberFormat="1" applyFont="1" applyFill="1" applyBorder="1" applyAlignment="1">
      <alignment vertical="center" wrapText="1"/>
    </xf>
    <xf numFmtId="4" fontId="26" fillId="22" borderId="82" xfId="0" applyNumberFormat="1" applyFont="1" applyFill="1" applyBorder="1" applyAlignment="1">
      <alignment vertical="center" wrapText="1"/>
    </xf>
    <xf numFmtId="4" fontId="27" fillId="22" borderId="91" xfId="0" applyNumberFormat="1" applyFont="1" applyFill="1" applyBorder="1" applyAlignment="1">
      <alignment vertical="center" wrapText="1"/>
    </xf>
    <xf numFmtId="4" fontId="26" fillId="21" borderId="92" xfId="0" applyNumberFormat="1" applyFont="1" applyFill="1" applyBorder="1" applyAlignment="1">
      <alignment horizontal="center" vertical="center" wrapText="1"/>
    </xf>
    <xf numFmtId="166" fontId="26" fillId="0" borderId="89" xfId="0" applyNumberFormat="1" applyFont="1" applyBorder="1" applyAlignment="1">
      <alignment vertical="center" wrapText="1"/>
    </xf>
    <xf numFmtId="166" fontId="26" fillId="0" borderId="90" xfId="0" applyNumberFormat="1" applyFont="1" applyBorder="1" applyAlignment="1">
      <alignment vertical="center" wrapText="1"/>
    </xf>
    <xf numFmtId="164" fontId="27" fillId="0" borderId="91" xfId="0" applyNumberFormat="1" applyFont="1" applyBorder="1" applyAlignment="1">
      <alignment vertical="center" wrapText="1"/>
    </xf>
    <xf numFmtId="4" fontId="26" fillId="21" borderId="82" xfId="0" applyNumberFormat="1" applyFont="1" applyFill="1" applyBorder="1" applyAlignment="1">
      <alignment horizontal="center" vertical="center" wrapText="1"/>
    </xf>
    <xf numFmtId="4" fontId="26" fillId="0" borderId="82" xfId="0" applyNumberFormat="1" applyFont="1" applyBorder="1" applyAlignment="1">
      <alignment horizontal="center" vertical="center" wrapText="1"/>
    </xf>
    <xf numFmtId="166" fontId="26" fillId="0" borderId="82" xfId="0" applyNumberFormat="1" applyFont="1" applyBorder="1" applyAlignment="1">
      <alignment vertical="center" wrapText="1"/>
    </xf>
    <xf numFmtId="4" fontId="26" fillId="0" borderId="82" xfId="0" applyNumberFormat="1" applyFont="1" applyBorder="1" applyAlignment="1">
      <alignment vertical="center" wrapText="1"/>
    </xf>
    <xf numFmtId="4" fontId="27" fillId="0" borderId="82" xfId="0" applyNumberFormat="1" applyFont="1" applyBorder="1" applyAlignment="1">
      <alignment vertical="center" wrapText="1"/>
    </xf>
    <xf numFmtId="10" fontId="26" fillId="0" borderId="0" xfId="0" applyNumberFormat="1" applyFont="1" applyAlignment="1">
      <alignment vertical="center" wrapText="1"/>
    </xf>
    <xf numFmtId="10" fontId="27" fillId="0" borderId="0" xfId="0" applyNumberFormat="1" applyFont="1" applyAlignment="1">
      <alignment vertical="center" wrapText="1"/>
    </xf>
    <xf numFmtId="10" fontId="26" fillId="21" borderId="80" xfId="0" applyNumberFormat="1" applyFont="1" applyFill="1" applyBorder="1" applyAlignment="1">
      <alignment horizontal="center" vertical="center" wrapText="1"/>
    </xf>
    <xf numFmtId="10" fontId="27" fillId="0" borderId="88" xfId="0" applyNumberFormat="1" applyFont="1" applyBorder="1" applyAlignment="1">
      <alignment horizontal="center" vertical="center" wrapText="1"/>
    </xf>
    <xf numFmtId="164" fontId="26" fillId="21" borderId="80" xfId="0" applyNumberFormat="1" applyFont="1" applyFill="1" applyBorder="1" applyAlignment="1">
      <alignment horizontal="center" vertical="center" wrapText="1"/>
    </xf>
    <xf numFmtId="4" fontId="26" fillId="0" borderId="85" xfId="0" applyNumberFormat="1" applyFont="1" applyFill="1" applyBorder="1" applyAlignment="1">
      <alignment vertical="center" wrapText="1"/>
    </xf>
    <xf numFmtId="10" fontId="26" fillId="0" borderId="85" xfId="0" applyNumberFormat="1" applyFont="1" applyFill="1" applyBorder="1" applyAlignment="1">
      <alignment vertical="center" wrapText="1"/>
    </xf>
    <xf numFmtId="10" fontId="26" fillId="0" borderId="89" xfId="25" applyNumberFormat="1" applyFont="1" applyFill="1" applyBorder="1" applyAlignment="1">
      <alignment vertical="center" wrapText="1"/>
    </xf>
    <xf numFmtId="4" fontId="26" fillId="0" borderId="82" xfId="0" applyNumberFormat="1" applyFont="1" applyFill="1" applyBorder="1" applyAlignment="1">
      <alignment vertical="center" wrapText="1"/>
    </xf>
    <xf numFmtId="10" fontId="26" fillId="0" borderId="82" xfId="0" applyNumberFormat="1" applyFont="1" applyFill="1" applyBorder="1" applyAlignment="1">
      <alignment vertical="center" wrapText="1"/>
    </xf>
    <xf numFmtId="10" fontId="26" fillId="0" borderId="90" xfId="25" applyNumberFormat="1" applyFont="1" applyFill="1" applyBorder="1" applyAlignment="1">
      <alignment vertical="center" wrapText="1"/>
    </xf>
    <xf numFmtId="0" fontId="26" fillId="0" borderId="82" xfId="0" applyNumberFormat="1" applyFont="1" applyFill="1" applyBorder="1" applyAlignment="1">
      <alignment vertical="center" wrapText="1"/>
    </xf>
    <xf numFmtId="10" fontId="26" fillId="0" borderId="82" xfId="25" applyNumberFormat="1" applyFont="1" applyFill="1" applyBorder="1" applyAlignment="1">
      <alignment vertical="center" wrapText="1"/>
    </xf>
    <xf numFmtId="4" fontId="26" fillId="0" borderId="0" xfId="0" applyNumberFormat="1" applyFont="1" applyFill="1" applyAlignment="1">
      <alignment vertical="center" wrapText="1"/>
    </xf>
    <xf numFmtId="10" fontId="26" fillId="0" borderId="0" xfId="0" applyNumberFormat="1" applyFont="1" applyFill="1" applyAlignment="1">
      <alignment vertical="center" wrapText="1"/>
    </xf>
    <xf numFmtId="4" fontId="28" fillId="15" borderId="0" xfId="0" applyNumberFormat="1" applyFont="1" applyFill="1" applyAlignment="1">
      <alignment vertical="center" wrapText="1"/>
    </xf>
    <xf numFmtId="4" fontId="26" fillId="23" borderId="85" xfId="0" applyNumberFormat="1" applyFont="1" applyFill="1" applyBorder="1" applyAlignment="1">
      <alignment vertical="center" wrapText="1"/>
    </xf>
    <xf numFmtId="4" fontId="26" fillId="23" borderId="82" xfId="0" applyNumberFormat="1" applyFont="1" applyFill="1" applyBorder="1" applyAlignment="1">
      <alignment vertical="center" wrapText="1"/>
    </xf>
    <xf numFmtId="4" fontId="26" fillId="23" borderId="80" xfId="0" applyNumberFormat="1" applyFont="1" applyFill="1" applyBorder="1" applyAlignment="1">
      <alignment horizontal="center" vertical="center" wrapText="1"/>
    </xf>
    <xf numFmtId="4" fontId="27" fillId="23" borderId="91" xfId="0" applyNumberFormat="1" applyFont="1" applyFill="1" applyBorder="1" applyAlignment="1">
      <alignment vertical="center" wrapText="1"/>
    </xf>
    <xf numFmtId="4" fontId="27" fillId="0" borderId="82" xfId="0" applyNumberFormat="1" applyFont="1" applyFill="1" applyBorder="1" applyAlignment="1">
      <alignment vertical="center" wrapText="1"/>
    </xf>
    <xf numFmtId="164" fontId="27" fillId="0" borderId="82" xfId="0" applyNumberFormat="1" applyFont="1" applyFill="1" applyBorder="1" applyAlignment="1">
      <alignment vertical="center" wrapText="1"/>
    </xf>
    <xf numFmtId="164" fontId="27" fillId="0" borderId="0" xfId="0" applyNumberFormat="1" applyFont="1" applyAlignment="1">
      <alignment vertical="center" wrapText="1"/>
    </xf>
    <xf numFmtId="164" fontId="27" fillId="0" borderId="0" xfId="0" applyNumberFormat="1" applyFont="1" applyFill="1" applyAlignment="1">
      <alignment vertical="center" wrapText="1"/>
    </xf>
    <xf numFmtId="10" fontId="26" fillId="0" borderId="0" xfId="0" applyNumberFormat="1" applyFont="1" applyAlignment="1">
      <alignment horizontal="center" vertical="center" wrapText="1"/>
    </xf>
    <xf numFmtId="0" fontId="0" fillId="0" borderId="0" xfId="0" pivotButton="1"/>
    <xf numFmtId="4" fontId="0" fillId="0" borderId="0" xfId="0" applyNumberFormat="1"/>
    <xf numFmtId="4" fontId="0" fillId="15" borderId="0" xfId="0" applyNumberFormat="1" applyFill="1"/>
    <xf numFmtId="0" fontId="0" fillId="15" borderId="0" xfId="0" applyFill="1"/>
    <xf numFmtId="0" fontId="0" fillId="16" borderId="0" xfId="0" applyFill="1"/>
    <xf numFmtId="4" fontId="0" fillId="16" borderId="0" xfId="0" applyNumberFormat="1" applyFill="1"/>
    <xf numFmtId="0" fontId="27" fillId="0" borderId="0" xfId="0" applyNumberFormat="1" applyFont="1" applyBorder="1" applyAlignment="1">
      <alignment horizontal="center" vertical="center" wrapText="1"/>
    </xf>
    <xf numFmtId="10" fontId="27" fillId="0" borderId="0" xfId="0" applyNumberFormat="1" applyFont="1" applyBorder="1" applyAlignment="1">
      <alignment horizontal="center" vertical="center" wrapText="1"/>
    </xf>
    <xf numFmtId="4" fontId="27" fillId="0" borderId="0" xfId="0" applyNumberFormat="1" applyFont="1" applyBorder="1" applyAlignment="1">
      <alignment vertical="center" wrapText="1"/>
    </xf>
    <xf numFmtId="4" fontId="27" fillId="22" borderId="0" xfId="0" applyNumberFormat="1" applyFont="1" applyFill="1" applyBorder="1" applyAlignment="1">
      <alignment vertical="center" wrapText="1"/>
    </xf>
    <xf numFmtId="4" fontId="27" fillId="23" borderId="0" xfId="0" applyNumberFormat="1" applyFont="1" applyFill="1" applyBorder="1" applyAlignment="1">
      <alignment vertical="center" wrapText="1"/>
    </xf>
    <xf numFmtId="164" fontId="27" fillId="0" borderId="0" xfId="0" applyNumberFormat="1" applyFont="1" applyBorder="1" applyAlignment="1">
      <alignment vertical="center" wrapText="1"/>
    </xf>
    <xf numFmtId="166" fontId="26" fillId="0" borderId="0" xfId="0" applyNumberFormat="1" applyFont="1" applyBorder="1" applyAlignment="1">
      <alignment vertical="center" wrapText="1"/>
    </xf>
    <xf numFmtId="4" fontId="26" fillId="0" borderId="0" xfId="0" applyNumberFormat="1" applyFont="1" applyFill="1" applyAlignment="1">
      <alignment horizontal="center" vertical="center" wrapText="1"/>
    </xf>
    <xf numFmtId="10" fontId="26" fillId="0" borderId="0" xfId="0" applyNumberFormat="1" applyFont="1" applyFill="1" applyAlignment="1">
      <alignment horizontal="center" vertical="center" wrapText="1"/>
    </xf>
    <xf numFmtId="164" fontId="27" fillId="0" borderId="0" xfId="0" applyNumberFormat="1" applyFont="1" applyFill="1" applyAlignment="1">
      <alignment horizontal="center" vertical="center" wrapText="1"/>
    </xf>
    <xf numFmtId="0" fontId="26" fillId="0" borderId="80" xfId="0" applyNumberFormat="1" applyFont="1" applyBorder="1" applyAlignment="1">
      <alignment horizontal="center" vertical="center" wrapText="1"/>
    </xf>
    <xf numFmtId="4" fontId="26" fillId="0" borderId="80" xfId="0" applyNumberFormat="1" applyFont="1" applyBorder="1" applyAlignment="1">
      <alignment horizontal="center" vertical="center" wrapText="1"/>
    </xf>
    <xf numFmtId="4" fontId="26" fillId="0" borderId="80" xfId="0" applyNumberFormat="1" applyFont="1" applyFill="1" applyBorder="1" applyAlignment="1">
      <alignment horizontal="center" vertical="center" wrapText="1"/>
    </xf>
    <xf numFmtId="4" fontId="26" fillId="0" borderId="80" xfId="0" applyNumberFormat="1" applyFont="1" applyBorder="1" applyAlignment="1">
      <alignment vertical="center" wrapText="1"/>
    </xf>
    <xf numFmtId="164" fontId="26" fillId="0" borderId="80" xfId="0" applyNumberFormat="1" applyFont="1" applyBorder="1" applyAlignment="1">
      <alignment vertical="center" wrapText="1"/>
    </xf>
    <xf numFmtId="164" fontId="26" fillId="0" borderId="80" xfId="0" applyNumberFormat="1" applyFont="1" applyFill="1" applyBorder="1" applyAlignment="1">
      <alignment vertical="center" wrapText="1"/>
    </xf>
    <xf numFmtId="164" fontId="26" fillId="0" borderId="0" xfId="0" applyNumberFormat="1" applyFont="1" applyAlignment="1">
      <alignment vertical="center" wrapText="1"/>
    </xf>
    <xf numFmtId="164" fontId="26" fillId="0" borderId="0" xfId="0" applyNumberFormat="1" applyFont="1" applyAlignment="1">
      <alignment horizontal="center" vertical="center" wrapText="1"/>
    </xf>
    <xf numFmtId="0" fontId="26" fillId="0" borderId="85" xfId="0" applyNumberFormat="1" applyFont="1" applyFill="1" applyBorder="1" applyAlignment="1">
      <alignment vertical="center" wrapText="1"/>
    </xf>
    <xf numFmtId="164" fontId="27" fillId="0" borderId="85" xfId="0" applyNumberFormat="1" applyFont="1" applyFill="1" applyBorder="1" applyAlignment="1">
      <alignment vertical="center" wrapText="1"/>
    </xf>
    <xf numFmtId="4" fontId="26" fillId="16" borderId="80" xfId="0" applyNumberFormat="1" applyFont="1" applyFill="1" applyBorder="1" applyAlignment="1">
      <alignment horizontal="center" vertical="center" wrapText="1"/>
    </xf>
    <xf numFmtId="4" fontId="26" fillId="0" borderId="80" xfId="0" applyNumberFormat="1" applyFont="1" applyFill="1" applyBorder="1" applyAlignment="1">
      <alignment vertical="center" wrapText="1"/>
    </xf>
    <xf numFmtId="0" fontId="26" fillId="0" borderId="80" xfId="0" applyNumberFormat="1" applyFont="1" applyFill="1" applyBorder="1" applyAlignment="1">
      <alignment vertical="center" wrapText="1"/>
    </xf>
    <xf numFmtId="4" fontId="26" fillId="0" borderId="5" xfId="0" applyNumberFormat="1" applyFont="1" applyFill="1" applyBorder="1" applyAlignment="1">
      <alignment vertical="center" wrapText="1"/>
    </xf>
    <xf numFmtId="0" fontId="26" fillId="0" borderId="5" xfId="0" applyNumberFormat="1" applyFont="1" applyFill="1" applyBorder="1" applyAlignment="1">
      <alignment vertical="center" wrapText="1"/>
    </xf>
    <xf numFmtId="4" fontId="26" fillId="0" borderId="95" xfId="0" applyNumberFormat="1" applyFont="1" applyFill="1" applyBorder="1" applyAlignment="1">
      <alignment vertical="center" wrapText="1"/>
    </xf>
    <xf numFmtId="4" fontId="26" fillId="0" borderId="93" xfId="0" applyNumberFormat="1" applyFont="1" applyFill="1" applyBorder="1" applyAlignment="1">
      <alignment vertical="center" wrapText="1"/>
    </xf>
    <xf numFmtId="4" fontId="26" fillId="0" borderId="4" xfId="0" applyNumberFormat="1" applyFont="1" applyFill="1" applyBorder="1" applyAlignment="1">
      <alignment vertical="center" wrapText="1"/>
    </xf>
    <xf numFmtId="0" fontId="26" fillId="0" borderId="4" xfId="0" applyNumberFormat="1" applyFont="1" applyFill="1" applyBorder="1" applyAlignment="1">
      <alignment vertical="center" wrapText="1"/>
    </xf>
    <xf numFmtId="4" fontId="26" fillId="0" borderId="15" xfId="0" applyNumberFormat="1" applyFont="1" applyBorder="1" applyAlignment="1">
      <alignment vertical="center" wrapText="1"/>
    </xf>
    <xf numFmtId="0" fontId="26" fillId="0" borderId="15" xfId="0" applyNumberFormat="1" applyFont="1" applyBorder="1" applyAlignment="1">
      <alignment vertical="center" wrapText="1"/>
    </xf>
    <xf numFmtId="0" fontId="26" fillId="21" borderId="96" xfId="0" applyNumberFormat="1" applyFont="1" applyFill="1" applyBorder="1" applyAlignment="1">
      <alignment horizontal="center" vertical="center" wrapText="1"/>
    </xf>
    <xf numFmtId="4" fontId="26" fillId="0" borderId="97" xfId="0" applyNumberFormat="1" applyFont="1" applyFill="1" applyBorder="1" applyAlignment="1">
      <alignment vertical="center" wrapText="1"/>
    </xf>
    <xf numFmtId="0" fontId="26" fillId="0" borderId="98" xfId="0" applyNumberFormat="1" applyFont="1" applyFill="1" applyBorder="1" applyAlignment="1">
      <alignment vertical="center" wrapText="1"/>
    </xf>
    <xf numFmtId="4" fontId="26" fillId="0" borderId="99" xfId="0" applyNumberFormat="1" applyFont="1" applyFill="1" applyBorder="1" applyAlignment="1">
      <alignment vertical="center" wrapText="1"/>
    </xf>
    <xf numFmtId="10" fontId="26" fillId="0" borderId="99" xfId="0" applyNumberFormat="1" applyFont="1" applyFill="1" applyBorder="1" applyAlignment="1">
      <alignment vertical="center" wrapText="1"/>
    </xf>
    <xf numFmtId="4" fontId="26" fillId="23" borderId="95" xfId="0" applyNumberFormat="1" applyFont="1" applyFill="1" applyBorder="1" applyAlignment="1">
      <alignment vertical="center" wrapText="1"/>
    </xf>
    <xf numFmtId="164" fontId="27" fillId="0" borderId="93" xfId="0" applyNumberFormat="1" applyFont="1" applyFill="1" applyBorder="1" applyAlignment="1">
      <alignment vertical="center" wrapText="1"/>
    </xf>
    <xf numFmtId="10" fontId="26" fillId="0" borderId="95" xfId="0" applyNumberFormat="1" applyFont="1" applyFill="1" applyBorder="1" applyAlignment="1">
      <alignment vertical="center" wrapText="1"/>
    </xf>
    <xf numFmtId="4" fontId="26" fillId="22" borderId="94" xfId="0" applyNumberFormat="1" applyFont="1" applyFill="1" applyBorder="1" applyAlignment="1">
      <alignment vertical="center" wrapText="1"/>
    </xf>
    <xf numFmtId="4" fontId="26" fillId="0" borderId="94" xfId="0" applyNumberFormat="1" applyFont="1" applyFill="1" applyBorder="1" applyAlignment="1">
      <alignment vertical="center" wrapText="1"/>
    </xf>
    <xf numFmtId="4" fontId="26" fillId="23" borderId="94" xfId="0" applyNumberFormat="1" applyFont="1" applyFill="1" applyBorder="1" applyAlignment="1">
      <alignment vertical="center" wrapText="1"/>
    </xf>
    <xf numFmtId="10" fontId="26" fillId="0" borderId="94" xfId="25" applyNumberFormat="1" applyFont="1" applyFill="1" applyBorder="1" applyAlignment="1">
      <alignment vertical="center" wrapText="1"/>
    </xf>
    <xf numFmtId="166" fontId="26" fillId="0" borderId="100" xfId="0" applyNumberFormat="1" applyFont="1" applyBorder="1" applyAlignment="1">
      <alignment vertical="center" wrapText="1"/>
    </xf>
    <xf numFmtId="4" fontId="26" fillId="23" borderId="0" xfId="0" applyNumberFormat="1" applyFont="1" applyFill="1" applyAlignment="1">
      <alignment vertical="center" wrapText="1"/>
    </xf>
    <xf numFmtId="4" fontId="27" fillId="0" borderId="0" xfId="0" applyNumberFormat="1" applyFont="1" applyFill="1" applyAlignment="1">
      <alignment vertical="center" wrapText="1"/>
    </xf>
    <xf numFmtId="0" fontId="26" fillId="0" borderId="0" xfId="0" applyNumberFormat="1" applyFont="1" applyFill="1" applyAlignment="1">
      <alignment horizontal="center" vertical="center" wrapText="1"/>
    </xf>
    <xf numFmtId="0" fontId="26" fillId="0" borderId="0" xfId="0" applyNumberFormat="1" applyFont="1" applyFill="1" applyAlignment="1">
      <alignment vertical="center" wrapText="1"/>
    </xf>
    <xf numFmtId="4" fontId="26" fillId="0" borderId="80" xfId="0" applyNumberFormat="1" applyFont="1" applyFill="1" applyBorder="1" applyAlignment="1">
      <alignment horizontal="right" vertical="center" wrapText="1"/>
    </xf>
    <xf numFmtId="0" fontId="0" fillId="0" borderId="80" xfId="0" applyFill="1" applyBorder="1" applyAlignment="1">
      <alignment horizontal="right" vertical="center"/>
    </xf>
    <xf numFmtId="0" fontId="26" fillId="0" borderId="0" xfId="0" applyNumberFormat="1" applyFont="1" applyFill="1" applyAlignment="1">
      <alignment horizontal="right" vertical="center" wrapText="1"/>
    </xf>
    <xf numFmtId="4" fontId="26" fillId="0" borderId="0" xfId="0" applyNumberFormat="1" applyFont="1" applyFill="1" applyAlignment="1">
      <alignment horizontal="right" vertical="center" wrapText="1"/>
    </xf>
    <xf numFmtId="2" fontId="0" fillId="0" borderId="80" xfId="0" applyNumberFormat="1" applyFont="1" applyFill="1" applyBorder="1" applyAlignment="1">
      <alignment horizontal="right" vertical="center"/>
    </xf>
    <xf numFmtId="4" fontId="26" fillId="0" borderId="80" xfId="0" applyNumberFormat="1" applyFont="1" applyFill="1" applyBorder="1" applyAlignment="1">
      <alignment vertical="center" wrapText="1"/>
    </xf>
    <xf numFmtId="0" fontId="26" fillId="0" borderId="80" xfId="0" applyNumberFormat="1" applyFont="1" applyFill="1" applyBorder="1" applyAlignment="1">
      <alignment horizontal="right" vertical="center" wrapText="1"/>
    </xf>
    <xf numFmtId="0" fontId="30" fillId="0" borderId="80" xfId="26" applyFont="1" applyFill="1" applyBorder="1" applyAlignment="1">
      <alignment horizontal="left" vertical="center"/>
    </xf>
    <xf numFmtId="2" fontId="30" fillId="0" borderId="80" xfId="26" applyNumberFormat="1" applyFont="1" applyFill="1" applyBorder="1" applyAlignment="1">
      <alignment horizontal="right" vertical="center"/>
    </xf>
    <xf numFmtId="0" fontId="30" fillId="0" borderId="80" xfId="26" applyFont="1" applyFill="1" applyBorder="1" applyAlignment="1">
      <alignment horizontal="right" vertical="center"/>
    </xf>
    <xf numFmtId="4" fontId="26" fillId="0" borderId="0" xfId="0" applyNumberFormat="1" applyFont="1" applyFill="1" applyAlignment="1">
      <alignment horizontal="center" vertical="center" wrapText="1"/>
    </xf>
    <xf numFmtId="4" fontId="26" fillId="0" borderId="101" xfId="0" applyNumberFormat="1" applyFont="1" applyFill="1" applyBorder="1" applyAlignment="1">
      <alignment vertical="center" wrapText="1"/>
    </xf>
    <xf numFmtId="164" fontId="27" fillId="0" borderId="101" xfId="0" applyNumberFormat="1" applyFont="1" applyFill="1" applyBorder="1" applyAlignment="1">
      <alignment vertical="center" wrapText="1"/>
    </xf>
    <xf numFmtId="10" fontId="27" fillId="0" borderId="101" xfId="0" applyNumberFormat="1" applyFont="1" applyFill="1" applyBorder="1" applyAlignment="1">
      <alignment horizontal="center" vertical="center" wrapText="1"/>
    </xf>
    <xf numFmtId="4" fontId="27" fillId="0" borderId="101" xfId="0" applyNumberFormat="1" applyFont="1" applyFill="1" applyBorder="1" applyAlignment="1">
      <alignment vertical="center" wrapText="1"/>
    </xf>
    <xf numFmtId="4" fontId="27" fillId="0" borderId="102" xfId="0" applyNumberFormat="1" applyFont="1" applyFill="1" applyBorder="1" applyAlignment="1">
      <alignment vertical="center" wrapText="1"/>
    </xf>
    <xf numFmtId="4" fontId="27" fillId="0" borderId="102" xfId="0" applyNumberFormat="1" applyFont="1" applyFill="1" applyBorder="1" applyAlignment="1">
      <alignment horizontal="center" vertical="center" wrapText="1"/>
    </xf>
    <xf numFmtId="4" fontId="27" fillId="0" borderId="101" xfId="0" applyNumberFormat="1" applyFont="1" applyFill="1" applyBorder="1" applyAlignment="1">
      <alignment horizontal="center" vertical="center" wrapText="1"/>
    </xf>
    <xf numFmtId="4" fontId="26" fillId="0" borderId="80" xfId="0" applyNumberFormat="1" applyFont="1" applyFill="1" applyBorder="1" applyAlignment="1">
      <alignment horizontal="right" vertical="center"/>
    </xf>
    <xf numFmtId="0" fontId="30" fillId="0" borderId="80" xfId="0" applyFont="1" applyFill="1" applyBorder="1" applyAlignment="1">
      <alignment horizontal="right"/>
    </xf>
    <xf numFmtId="0" fontId="30" fillId="0" borderId="5" xfId="0" applyFont="1" applyFill="1" applyBorder="1" applyAlignment="1">
      <alignment horizontal="right"/>
    </xf>
    <xf numFmtId="0" fontId="26" fillId="0" borderId="101" xfId="0" applyNumberFormat="1" applyFont="1" applyFill="1" applyBorder="1" applyAlignment="1">
      <alignment vertical="center" wrapText="1"/>
    </xf>
    <xf numFmtId="0" fontId="26" fillId="0" borderId="101" xfId="0" applyNumberFormat="1" applyFont="1" applyFill="1" applyBorder="1" applyAlignment="1">
      <alignment horizontal="right" vertical="center" wrapText="1"/>
    </xf>
    <xf numFmtId="4" fontId="26" fillId="0" borderId="101" xfId="0" applyNumberFormat="1" applyFont="1" applyFill="1" applyBorder="1" applyAlignment="1">
      <alignment horizontal="right" vertical="center" wrapText="1"/>
    </xf>
    <xf numFmtId="0" fontId="30" fillId="0" borderId="101" xfId="0" applyFont="1" applyFill="1" applyBorder="1" applyAlignment="1">
      <alignment horizontal="right"/>
    </xf>
    <xf numFmtId="4" fontId="27" fillId="0" borderId="101" xfId="0" applyNumberFormat="1" applyFont="1" applyFill="1" applyBorder="1" applyAlignment="1">
      <alignment horizontal="right" vertical="center" wrapText="1"/>
    </xf>
    <xf numFmtId="4" fontId="31" fillId="0" borderId="101" xfId="0" applyNumberFormat="1" applyFont="1" applyFill="1" applyBorder="1" applyAlignment="1">
      <alignment vertical="center" wrapText="1"/>
    </xf>
    <xf numFmtId="0" fontId="26" fillId="0" borderId="80" xfId="0" applyNumberFormat="1" applyFont="1" applyFill="1" applyBorder="1" applyAlignment="1">
      <alignment horizontal="center" vertical="center" wrapText="1"/>
    </xf>
    <xf numFmtId="4" fontId="26" fillId="0" borderId="101" xfId="0" applyNumberFormat="1" applyFont="1" applyFill="1" applyBorder="1" applyAlignment="1">
      <alignment horizontal="center" vertical="center" wrapText="1"/>
    </xf>
    <xf numFmtId="164" fontId="27" fillId="0" borderId="10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4" fontId="20" fillId="0" borderId="39" xfId="0" applyNumberFormat="1" applyFont="1" applyFill="1" applyBorder="1" applyAlignment="1">
      <alignment horizontal="center" vertical="center" wrapText="1"/>
    </xf>
    <xf numFmtId="4" fontId="20" fillId="0" borderId="23" xfId="0" applyNumberFormat="1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20" borderId="5" xfId="0" applyNumberFormat="1" applyFill="1" applyBorder="1" applyAlignment="1">
      <alignment horizontal="center" vertical="center" wrapText="1"/>
    </xf>
    <xf numFmtId="4" fontId="0" fillId="20" borderId="7" xfId="0" applyNumberFormat="1" applyFill="1" applyBorder="1" applyAlignment="1">
      <alignment horizontal="center" vertical="center" wrapText="1"/>
    </xf>
    <xf numFmtId="0" fontId="0" fillId="20" borderId="5" xfId="0" applyFill="1" applyBorder="1" applyAlignment="1">
      <alignment horizontal="center" vertical="center" wrapText="1"/>
    </xf>
    <xf numFmtId="0" fontId="0" fillId="20" borderId="7" xfId="0" applyFill="1" applyBorder="1" applyAlignment="1">
      <alignment horizontal="center" vertical="center" wrapText="1"/>
    </xf>
    <xf numFmtId="165" fontId="0" fillId="0" borderId="69" xfId="0" applyNumberFormat="1" applyFill="1" applyBorder="1" applyAlignment="1">
      <alignment horizontal="center" vertical="center" wrapText="1" shrinkToFit="1"/>
    </xf>
    <xf numFmtId="165" fontId="0" fillId="0" borderId="63" xfId="0" applyNumberFormat="1" applyFill="1" applyBorder="1" applyAlignment="1">
      <alignment horizontal="center" vertical="center" wrapText="1" shrinkToFit="1"/>
    </xf>
    <xf numFmtId="166" fontId="0" fillId="0" borderId="70" xfId="0" applyNumberFormat="1" applyFill="1" applyBorder="1" applyAlignment="1">
      <alignment horizontal="center" vertical="center" wrapText="1" shrinkToFit="1"/>
    </xf>
    <xf numFmtId="166" fontId="0" fillId="0" borderId="65" xfId="0" applyNumberFormat="1" applyFill="1" applyBorder="1" applyAlignment="1">
      <alignment horizontal="center" vertical="center" wrapText="1" shrinkToFit="1"/>
    </xf>
    <xf numFmtId="3" fontId="0" fillId="0" borderId="71" xfId="0" applyNumberFormat="1" applyFill="1" applyBorder="1" applyAlignment="1">
      <alignment horizontal="center" vertical="center" wrapText="1" shrinkToFit="1"/>
    </xf>
    <xf numFmtId="3" fontId="0" fillId="0" borderId="72" xfId="0" applyNumberFormat="1" applyFill="1" applyBorder="1" applyAlignment="1">
      <alignment horizontal="center" vertical="center" wrapText="1" shrinkToFit="1"/>
    </xf>
    <xf numFmtId="0" fontId="0" fillId="0" borderId="40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3" fontId="0" fillId="0" borderId="73" xfId="0" applyNumberFormat="1" applyFill="1" applyBorder="1" applyAlignment="1">
      <alignment horizontal="center" vertical="center" wrapText="1" shrinkToFit="1"/>
    </xf>
    <xf numFmtId="3" fontId="0" fillId="0" borderId="64" xfId="0" applyNumberFormat="1" applyFill="1" applyBorder="1" applyAlignment="1">
      <alignment horizontal="center" vertical="center" wrapText="1" shrinkToFit="1"/>
    </xf>
    <xf numFmtId="3" fontId="0" fillId="0" borderId="69" xfId="0" applyNumberFormat="1" applyFill="1" applyBorder="1" applyAlignment="1">
      <alignment horizontal="center" vertical="center" wrapText="1" shrinkToFit="1"/>
    </xf>
    <xf numFmtId="3" fontId="0" fillId="0" borderId="63" xfId="0" applyNumberFormat="1" applyFill="1" applyBorder="1" applyAlignment="1">
      <alignment horizontal="center" vertical="center" wrapText="1" shrinkToFit="1"/>
    </xf>
    <xf numFmtId="0" fontId="0" fillId="0" borderId="5" xfId="0" applyFill="1" applyBorder="1" applyAlignment="1"/>
    <xf numFmtId="0" fontId="0" fillId="0" borderId="7" xfId="0" applyBorder="1" applyAlignment="1"/>
    <xf numFmtId="4" fontId="25" fillId="20" borderId="5" xfId="0" applyNumberFormat="1" applyFont="1" applyFill="1" applyBorder="1" applyAlignment="1">
      <alignment horizontal="center" vertical="center" wrapText="1"/>
    </xf>
    <xf numFmtId="4" fontId="25" fillId="20" borderId="7" xfId="0" applyNumberFormat="1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39" xfId="0" applyFont="1" applyFill="1" applyBorder="1" applyAlignment="1">
      <alignment horizontal="center" vertical="center" textRotation="90" wrapText="1"/>
    </xf>
    <xf numFmtId="0" fontId="20" fillId="0" borderId="23" xfId="0" applyFont="1" applyFill="1" applyBorder="1" applyAlignment="1">
      <alignment horizontal="center" vertical="center" textRotation="90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75" xfId="0" applyFont="1" applyFill="1" applyBorder="1" applyAlignment="1">
      <alignment horizontal="center" vertical="center" wrapText="1"/>
    </xf>
    <xf numFmtId="0" fontId="20" fillId="0" borderId="76" xfId="0" applyFont="1" applyFill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 wrapText="1"/>
    </xf>
    <xf numFmtId="0" fontId="20" fillId="0" borderId="78" xfId="0" applyFont="1" applyFill="1" applyBorder="1" applyAlignment="1">
      <alignment horizontal="center" vertical="center" wrapText="1"/>
    </xf>
    <xf numFmtId="0" fontId="20" fillId="0" borderId="79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7" fillId="0" borderId="86" xfId="0" applyNumberFormat="1" applyFont="1" applyBorder="1" applyAlignment="1">
      <alignment horizontal="center" vertical="center" wrapText="1"/>
    </xf>
    <xf numFmtId="0" fontId="27" fillId="0" borderId="87" xfId="0" applyNumberFormat="1" applyFont="1" applyBorder="1" applyAlignment="1">
      <alignment horizontal="center" vertical="center" wrapText="1"/>
    </xf>
    <xf numFmtId="0" fontId="27" fillId="0" borderId="88" xfId="0" applyNumberFormat="1" applyFont="1" applyBorder="1" applyAlignment="1">
      <alignment horizontal="center" vertical="center" wrapText="1"/>
    </xf>
    <xf numFmtId="4" fontId="26" fillId="0" borderId="101" xfId="0" applyNumberFormat="1" applyFont="1" applyFill="1" applyBorder="1" applyAlignment="1">
      <alignment horizontal="center" vertical="center" wrapText="1"/>
    </xf>
    <xf numFmtId="164" fontId="27" fillId="0" borderId="101" xfId="0" applyNumberFormat="1" applyFont="1" applyFill="1" applyBorder="1" applyAlignment="1">
      <alignment horizontal="center" vertical="center" wrapText="1"/>
    </xf>
    <xf numFmtId="0" fontId="26" fillId="0" borderId="80" xfId="0" applyNumberFormat="1" applyFont="1" applyFill="1" applyBorder="1" applyAlignment="1">
      <alignment horizontal="center" vertical="center" wrapText="1"/>
    </xf>
    <xf numFmtId="0" fontId="26" fillId="0" borderId="101" xfId="0" applyNumberFormat="1" applyFont="1" applyFill="1" applyBorder="1" applyAlignment="1">
      <alignment horizontal="center" vertical="center" wrapText="1"/>
    </xf>
    <xf numFmtId="4" fontId="26" fillId="0" borderId="80" xfId="0" applyNumberFormat="1" applyFont="1" applyFill="1" applyBorder="1" applyAlignment="1">
      <alignment horizontal="center" vertical="center" wrapText="1"/>
    </xf>
    <xf numFmtId="164" fontId="26" fillId="0" borderId="101" xfId="0" applyNumberFormat="1" applyFont="1" applyFill="1" applyBorder="1" applyAlignment="1">
      <alignment horizontal="center" vertical="center" wrapText="1"/>
    </xf>
    <xf numFmtId="164" fontId="27" fillId="0" borderId="102" xfId="0" applyNumberFormat="1" applyFont="1" applyFill="1" applyBorder="1" applyAlignment="1">
      <alignment vertical="center" wrapText="1"/>
    </xf>
    <xf numFmtId="0" fontId="30" fillId="0" borderId="80" xfId="26" applyFont="1" applyFill="1" applyBorder="1" applyAlignment="1">
      <alignment horizontal="left"/>
    </xf>
    <xf numFmtId="4" fontId="30" fillId="0" borderId="80" xfId="26" applyNumberFormat="1" applyFont="1" applyFill="1" applyBorder="1" applyAlignment="1"/>
    <xf numFmtId="0" fontId="30" fillId="0" borderId="80" xfId="26" applyFont="1" applyFill="1" applyBorder="1" applyAlignment="1">
      <alignment horizontal="right"/>
    </xf>
    <xf numFmtId="2" fontId="30" fillId="0" borderId="5" xfId="0" applyNumberFormat="1" applyFont="1" applyFill="1" applyBorder="1" applyAlignment="1">
      <alignment horizontal="right"/>
    </xf>
    <xf numFmtId="2" fontId="30" fillId="0" borderId="101" xfId="0" applyNumberFormat="1" applyFont="1" applyFill="1" applyBorder="1" applyAlignment="1">
      <alignment horizontal="right"/>
    </xf>
    <xf numFmtId="0" fontId="32" fillId="0" borderId="78" xfId="0" applyNumberFormat="1" applyFont="1" applyFill="1" applyBorder="1" applyAlignment="1">
      <alignment vertical="center" wrapText="1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26"/>
    <cellStyle name="Обычный_Остатки квартир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Процентный" xfId="25" builtinId="5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65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4" formatCode="#,##0.00"/>
    </dxf>
    <dxf>
      <numFmt numFmtId="4" formatCode="#,##0.00"/>
    </dxf>
    <dxf>
      <font>
        <color theme="0" tint="-0.499984740745262"/>
      </font>
    </dxf>
    <dxf>
      <font>
        <color theme="0" tint="-0.499984740745262"/>
      </font>
    </dxf>
    <dxf>
      <font>
        <i/>
      </font>
    </dxf>
    <dxf>
      <font>
        <i/>
      </font>
    </dxf>
    <dxf>
      <border>
        <left style="medium">
          <color rgb="FF0000FF"/>
        </left>
        <right style="medium">
          <color rgb="FF0000FF"/>
        </right>
        <top style="medium">
          <color rgb="FF0000FF"/>
        </top>
        <bottom style="medium">
          <color rgb="FF0000FF"/>
        </bottom>
      </border>
    </dxf>
    <dxf>
      <fill>
        <patternFill>
          <bgColor theme="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4" formatCode="#,##0.00"/>
    </dxf>
    <dxf>
      <alignment horizontal="center" readingOrder="0"/>
    </dxf>
    <dxf>
      <alignment vertical="center" readingOrder="0"/>
    </dxf>
    <dxf>
      <numFmt numFmtId="4" formatCode="#,##0.0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</dxfs>
  <tableStyles count="0" defaultTableStyle="TableStyleMedium2" defaultPivotStyle="PivotStyleLight16"/>
  <colors>
    <mruColors>
      <color rgb="FF0000FF"/>
      <color rgb="FF66663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ome" refreshedDate="42982.431540509257" createdVersion="1" refreshedVersion="3" recordCount="1418" upgradeOnRefresh="1">
  <cacheSource type="worksheet">
    <worksheetSource ref="A3:P813" sheet="Росреестр массив"/>
  </cacheSource>
  <cacheFields count="16">
    <cacheField name="Кадастровый квартал" numFmtId="0">
      <sharedItems count="238">
        <s v="02:47:000000"/>
        <s v="02:47:010101"/>
        <s v="02:47:010103"/>
        <s v="02:47:010109"/>
        <s v="02:47:010111"/>
        <s v="02:50:110210"/>
        <s v="02:50:110211"/>
        <s v="02:50:110402"/>
        <s v="02:03:160717"/>
        <s v="02:01:010136"/>
        <s v="02:01:010112"/>
        <s v="02:01:010206"/>
        <s v="02:01:010128"/>
        <s v="02:73:010725"/>
        <s v="02:73:010720"/>
        <s v="02:73:010704"/>
        <s v="02:73:010719"/>
        <s v="02:07:010253"/>
        <s v="02:07:010234"/>
        <s v="02:07:000000"/>
        <s v="02:63:011506"/>
        <s v="02:63:011513"/>
        <s v="02:63:011511"/>
        <s v="02:63:011515"/>
        <s v="02:63:011401"/>
        <s v="02:63:011508"/>
        <s v="02:63:000000"/>
        <s v="02:63:011516"/>
        <s v="02:63:011518"/>
        <s v="02:63:010915"/>
        <s v="02:63:011517"/>
        <s v="02:63:011001"/>
        <s v="02:63:010312"/>
        <s v="02:63:011502"/>
        <s v="02:63:012206"/>
        <s v="02:63:010901"/>
        <s v="02:63:010311"/>
        <s v="02:63:011510"/>
        <s v="02:63:011501"/>
        <s v="02:63:011504"/>
        <s v="02:63:011514"/>
        <s v="02:16:130102"/>
        <s v="02:16:130116"/>
        <s v="02:16:130125"/>
        <s v="02:16:130202"/>
        <s v="02:16:130133"/>
        <s v="02:17:040218"/>
        <s v="02:17:040213"/>
        <s v="02:17:040210"/>
        <s v="02:17:040216"/>
        <s v="02:17:040209"/>
        <s v="02:70:011001"/>
        <s v="02:70:010901"/>
        <s v="02:70:011402"/>
        <s v="02:70:011704"/>
        <s v="02:70:011603"/>
        <s v="02:70:011501"/>
        <s v="02:70:011101"/>
        <s v="02:30:140206"/>
        <s v="02:31:110231"/>
        <s v="02:58:020305"/>
        <s v="02:31:110210"/>
        <s v="02:19:150504"/>
        <s v="02:19:150518"/>
        <s v="02:26:020303"/>
        <s v="02:60:010137"/>
        <s v="02:60:010139"/>
        <s v="02:60:010133"/>
        <s v="02:60:010302"/>
        <s v="02:60:010152"/>
        <s v="02:60:010301"/>
        <s v="02:60:010102"/>
        <s v="02:60:010112"/>
        <s v="02:60:010150"/>
        <s v="02:60:010104"/>
        <s v="02:60:010504"/>
        <s v="02:60:010130"/>
        <s v="02:60:010136"/>
        <s v="02:60:010113"/>
        <s v="02:60:010125"/>
        <s v="02:60:010132"/>
        <s v="02:60:010151"/>
        <s v="02:60:010138"/>
        <s v="02:60:010103"/>
        <s v="02:60:010144"/>
        <s v="02:60:010128"/>
        <s v="02:60:010114"/>
        <s v="02:60:010105"/>
        <s v="02:60:010126"/>
        <s v="02:60:010143"/>
        <s v="02:60:010109"/>
        <s v="02:68:010503"/>
        <s v="02:68:010502"/>
        <s v="02:68:010615"/>
        <s v="02:68:010614"/>
        <s v="02:68:010402"/>
        <s v="02:68:010811"/>
        <s v="02:68:010602"/>
        <s v="02:68:010303"/>
        <s v="02:68:010808"/>
        <s v="02:68:010613"/>
        <s v="02:68:011302"/>
        <s v="02:68:010612"/>
        <s v="02:68:011113"/>
        <s v="02:68:010104"/>
        <s v="02:68:011112"/>
        <s v="02:68:000000"/>
        <s v="02:68:010403"/>
        <s v="02:66:010612"/>
        <s v="02:66:010107"/>
        <s v="02:66:010108"/>
        <s v="02:66:010101"/>
        <s v="02:66:010602"/>
        <s v="02:66:010106"/>
        <s v="02:66:010104"/>
        <s v="02:66:010111"/>
        <s v="02:66:010105"/>
        <s v="02:66:010112"/>
        <s v="02:66:010113"/>
        <s v="02:66:010603"/>
        <s v="02:66:010201"/>
        <s v="02:66:010102"/>
        <s v="02:66:010706"/>
        <s v="02:66:010433"/>
        <s v="02:66:010705"/>
        <s v="02:66:010109"/>
        <s v="02:66:000000"/>
        <s v="02:66:010476"/>
        <s v="02:66:010103"/>
        <s v="02:66:010701"/>
        <s v="02:10:070104"/>
        <s v="02:10:070102"/>
        <s v="02:10:070101"/>
        <s v="02:10:070103"/>
        <s v="02:59:070301"/>
        <s v="02:59:070309"/>
        <s v="02:59:070305"/>
        <s v="02:59:070310"/>
        <s v="02:59:070312"/>
        <s v="02:59:070141"/>
        <s v="02:59:070140"/>
        <s v="02:59:000000"/>
        <s v="02:59:070315"/>
        <s v="02:59:070117"/>
        <s v="02:59:070311"/>
        <s v="02:59:070316"/>
        <s v="02:59:070308"/>
        <s v="02:59:070132"/>
        <s v="02:59:070307"/>
        <s v="02:59:070302"/>
        <s v="02:59:070127"/>
        <s v="02:59:070133"/>
        <s v="02:59:070313"/>
        <s v="02:59:070303"/>
        <s v="02:59:010101"/>
        <s v="02:59:070304"/>
        <s v="02:59:070102"/>
        <s v="02:59:070306"/>
        <s v="02:59:070105"/>
        <s v="02:59:070104"/>
        <s v="02:59:070314"/>
        <s v="02:61:010902"/>
        <s v="02:61:011201"/>
        <s v="02:61:010901"/>
        <s v="02:61:010903"/>
        <s v="02:61:010905"/>
        <s v="02:61:010906"/>
        <s v="02:61:010907"/>
        <s v="02:61:010904"/>
        <s v="02:61:000000"/>
        <s v="02:61:011102"/>
        <s v="02:65:011204"/>
        <s v="02:65:011001"/>
        <s v="02:65:011202"/>
        <s v="02:65:011210"/>
        <s v="02:65:011211"/>
        <s v="02:65:011221"/>
        <s v="02:65:011215"/>
        <s v="02:65:011223"/>
        <s v="02:65:011220"/>
        <s v="02:65:011227"/>
        <s v="02:65:011307"/>
        <s v="02:65:011403"/>
        <s v="02:65:010247"/>
        <s v="02:65:010202"/>
        <s v="02:65:011224"/>
        <s v="02:65:011213"/>
        <s v="02:65:011218"/>
        <s v="02:65:011203"/>
        <s v="02:65:011201"/>
        <s v="02:65:010212"/>
        <s v="02:65:011909"/>
        <s v="02:65:010222"/>
        <s v="02:65:011222"/>
        <s v="02:65:011309"/>
        <s v="02:65:010255"/>
        <s v="02:65:010722"/>
        <s v="02:65:011205"/>
        <s v="02:65:011219"/>
        <s v="02:65:010227"/>
        <s v="02:65:010248"/>
        <s v="02:65:011212"/>
        <s v="02:65:010246"/>
        <s v="02:65:010801"/>
        <s v="02:65:010223"/>
        <s v="02:65:011214"/>
        <s v="02:65:010205"/>
        <s v="02:65:010250"/>
        <s v="02:65:011216"/>
        <s v="02:65:011207"/>
        <s v="02:65:010234"/>
        <s v="02:65:011209"/>
        <s v="02:67:010102"/>
        <s v="02:67:010118"/>
        <s v="02:67:010120"/>
        <s v="02:67:010110"/>
        <s v="02:67:010114"/>
        <s v="02:67:010104"/>
        <s v="02:67:010727"/>
        <s v="02:67:010117"/>
        <s v="02:49:161026"/>
        <s v="02:49:161031"/>
        <s v="02:14:140113"/>
        <s v="02:14:140104"/>
        <s v="02:72:020202"/>
        <s v="02:72:020108"/>
        <s v="02:72:020119"/>
        <s v="02:72:020405"/>
        <s v="02:72:020207"/>
        <s v="02:72:020115"/>
        <s v="02:72:020106"/>
        <s v="02:72:020502"/>
        <s v="02:72:020208"/>
        <s v="02:72:020501"/>
        <s v="02:72:010803"/>
        <s v="02:72:000000"/>
        <s v="02:72:010804"/>
        <s v="02:72:020116"/>
      </sharedItems>
    </cacheField>
    <cacheField name="Площадь, кв.м." numFmtId="0">
      <sharedItems containsSemiMixedTypes="0" containsString="0" containsNumber="1" minValue="8.3000000000000007" maxValue="345.6" count="437">
        <n v="64.7"/>
        <n v="40.1"/>
        <n v="30"/>
        <n v="35.299999999999997"/>
        <n v="49"/>
        <n v="31"/>
        <n v="36.6"/>
        <n v="49.9"/>
        <n v="46.6"/>
        <n v="30.2"/>
        <n v="51.5"/>
        <n v="61.8"/>
        <n v="46.7"/>
        <n v="52.6"/>
        <n v="32.4"/>
        <n v="49.4"/>
        <n v="66.7"/>
        <n v="37.700000000000003"/>
        <n v="52.4"/>
        <n v="32.1"/>
        <n v="43.5"/>
        <n v="40.299999999999997"/>
        <n v="46.5"/>
        <n v="26.9"/>
        <n v="45.3"/>
        <n v="43.4"/>
        <n v="31.6"/>
        <n v="41.7"/>
        <n v="48.8"/>
        <n v="47.2"/>
        <n v="20.3"/>
        <n v="15"/>
        <n v="43.7"/>
        <n v="50.9"/>
        <n v="34.799999999999997"/>
        <n v="33.1"/>
        <n v="33.4"/>
        <n v="47.7"/>
        <n v="31.4"/>
        <n v="41.5"/>
        <n v="40.799999999999997"/>
        <n v="42.7"/>
        <n v="38.9"/>
        <n v="36.5"/>
        <n v="45.7"/>
        <n v="42.5"/>
        <n v="32.799999999999997"/>
        <n v="56"/>
        <n v="35.799999999999997"/>
        <n v="43.6"/>
        <n v="42.1"/>
        <n v="70.599999999999994"/>
        <n v="47.8"/>
        <n v="57.5"/>
        <n v="33"/>
        <n v="67.2"/>
        <n v="28.9"/>
        <n v="33.799999999999997"/>
        <n v="29.8"/>
        <n v="51.9"/>
        <n v="43.9"/>
        <n v="23.5"/>
        <n v="32.9"/>
        <n v="50.3"/>
        <n v="20.8"/>
        <n v="40.9"/>
        <n v="20.9"/>
        <n v="45.2"/>
        <n v="35.6"/>
        <n v="44.3"/>
        <n v="44.6"/>
        <n v="29.7"/>
        <n v="46"/>
        <n v="28.2"/>
        <n v="59.4"/>
        <n v="49.2"/>
        <n v="42.4"/>
        <n v="43.1"/>
        <n v="41.9"/>
        <n v="36.1"/>
        <n v="75.900000000000006"/>
        <n v="37.200000000000003"/>
        <n v="58.6"/>
        <n v="38.4"/>
        <n v="41.2"/>
        <n v="61.3"/>
        <n v="42.9"/>
        <n v="49.7"/>
        <n v="33.6"/>
        <n v="66.8"/>
        <n v="32.6"/>
        <n v="39.9"/>
        <n v="32.700000000000003"/>
        <n v="27.1"/>
        <n v="59.6"/>
        <n v="39"/>
        <n v="55.6"/>
        <n v="52.7"/>
        <n v="55.8"/>
        <n v="77.599999999999994"/>
        <n v="62.6"/>
        <n v="59.7"/>
        <n v="84.8"/>
        <n v="58.4"/>
        <n v="31.7"/>
        <n v="14.6"/>
        <n v="35.5"/>
        <n v="50.6"/>
        <n v="21.2"/>
        <n v="50.7"/>
        <n v="53.6"/>
        <n v="59"/>
        <n v="24.9"/>
        <n v="39.6"/>
        <n v="48.5"/>
        <n v="26.6"/>
        <n v="60"/>
        <n v="59.5"/>
        <n v="44.7"/>
        <n v="95.4"/>
        <n v="75.2"/>
        <n v="65.099999999999994"/>
        <n v="50.5"/>
        <n v="46.2"/>
        <n v="60.3"/>
        <n v="50.2"/>
        <n v="59.9"/>
        <n v="27.2"/>
        <n v="42.3"/>
        <n v="42.6"/>
        <n v="40.6"/>
        <n v="43.8"/>
        <n v="30.4"/>
        <n v="31.9"/>
        <n v="38.200000000000003"/>
        <n v="42"/>
        <n v="41.3"/>
        <n v="15.6"/>
        <n v="41.6"/>
        <n v="41"/>
        <n v="47.4"/>
        <n v="34.9"/>
        <n v="57.8"/>
        <n v="55"/>
        <n v="40.700000000000003"/>
        <n v="56.6"/>
        <n v="128"/>
        <n v="32.299999999999997"/>
        <n v="34.5"/>
        <n v="45.1"/>
        <n v="71.2"/>
        <n v="58.2"/>
        <n v="58.8"/>
        <n v="63.8"/>
        <n v="38.700000000000003"/>
        <n v="27.3"/>
        <n v="61.4"/>
        <n v="57"/>
        <n v="28"/>
        <n v="50"/>
        <n v="48"/>
        <n v="57.3"/>
        <n v="73.3"/>
        <n v="51.1"/>
        <n v="96.6"/>
        <n v="52.9"/>
        <n v="65.7"/>
        <n v="62"/>
        <n v="46.3"/>
        <n v="55.7"/>
        <n v="258.5"/>
        <n v="33.299999999999997"/>
        <n v="46.8"/>
        <n v="43.2"/>
        <n v="89.7"/>
        <n v="32.5"/>
        <n v="56.1"/>
        <n v="62.9"/>
        <n v="29.9"/>
        <n v="99.1"/>
        <n v="40.5"/>
        <n v="40.4"/>
        <n v="21.3"/>
        <n v="42.8"/>
        <n v="39.799999999999997"/>
        <n v="59.3"/>
        <n v="39.5"/>
        <n v="44.2"/>
        <n v="48.3"/>
        <n v="52"/>
        <n v="45.5"/>
        <n v="99.3"/>
        <n v="48.4"/>
        <n v="47.6"/>
        <n v="48.9"/>
        <n v="51.7"/>
        <n v="60.5"/>
        <n v="62.4"/>
        <n v="30.1"/>
        <n v="65"/>
        <n v="43"/>
        <n v="35.9"/>
        <n v="17"/>
        <n v="61.6"/>
        <n v="85.1"/>
        <n v="64.2"/>
        <n v="49.8"/>
        <n v="81.5"/>
        <n v="36.200000000000003"/>
        <n v="64.599999999999994"/>
        <n v="36"/>
        <n v="49.3"/>
        <n v="67.5"/>
        <n v="57.7"/>
        <n v="55.2"/>
        <n v="44.1"/>
        <n v="35.200000000000003"/>
        <n v="53.1"/>
        <n v="25.2"/>
        <n v="55.1"/>
        <n v="35"/>
        <n v="17.600000000000001"/>
        <n v="41.1"/>
        <n v="56.5"/>
        <n v="50.8"/>
        <n v="56.2"/>
        <n v="62.8"/>
        <n v="47.1"/>
        <n v="37.1"/>
        <n v="39.700000000000003"/>
        <n v="59.1"/>
        <n v="98.3"/>
        <n v="37.4"/>
        <n v="34"/>
        <n v="49.5"/>
        <n v="58"/>
        <n v="61"/>
        <n v="29.2"/>
        <n v="56.4"/>
        <n v="54"/>
        <n v="103.4"/>
        <n v="52.8"/>
        <n v="62.7"/>
        <n v="61.7"/>
        <n v="58.7"/>
        <n v="52.2"/>
        <n v="134.69999999999999"/>
        <n v="26.8"/>
        <n v="31.5"/>
        <n v="30.3"/>
        <n v="53.4"/>
        <n v="44.8"/>
        <n v="52.1"/>
        <n v="50.4"/>
        <n v="55.5"/>
        <n v="45"/>
        <n v="46.9"/>
        <n v="345.6"/>
        <n v="44.5"/>
        <n v="53"/>
        <n v="30.8"/>
        <n v="64.099999999999994"/>
        <n v="27.6"/>
        <n v="53.5"/>
        <n v="54.5"/>
        <n v="59.8"/>
        <n v="49.6"/>
        <n v="71.099999999999994"/>
        <n v="70.3"/>
        <n v="66.2"/>
        <n v="66.099999999999994"/>
        <n v="31.1"/>
        <n v="38"/>
        <n v="34.4"/>
        <n v="37.799999999999997"/>
        <n v="35.700000000000003"/>
        <n v="83.7"/>
        <n v="63.2"/>
        <n v="63.7"/>
        <n v="25.4"/>
        <n v="53.8"/>
        <n v="38.6"/>
        <n v="72.5"/>
        <n v="37.299999999999997"/>
        <n v="75.5"/>
        <n v="33.200000000000003"/>
        <n v="56.8"/>
        <n v="41.8"/>
        <n v="45.9"/>
        <n v="63.3"/>
        <n v="28.7"/>
        <n v="13.3"/>
        <n v="76.3"/>
        <n v="67.599999999999994"/>
        <n v="61.9"/>
        <n v="53.3"/>
        <n v="64.5"/>
        <n v="30.6"/>
        <n v="34.299999999999997"/>
        <n v="63"/>
        <n v="27.7"/>
        <n v="64.3"/>
        <n v="13"/>
        <n v="18"/>
        <n v="36.299999999999997"/>
        <n v="41.4"/>
        <n v="35.1"/>
        <n v="30.7"/>
        <n v="66.3"/>
        <n v="66.5"/>
        <n v="55.9"/>
        <n v="34.200000000000003"/>
        <n v="63.1"/>
        <n v="54.9"/>
        <n v="65.3"/>
        <n v="37.9"/>
        <n v="57.6"/>
        <n v="37.6"/>
        <n v="63.6"/>
        <n v="63.9"/>
        <n v="40.200000000000003"/>
        <n v="34.700000000000003"/>
        <n v="51.6"/>
        <n v="67.900000000000006"/>
        <n v="62.3"/>
        <n v="73.5"/>
        <n v="45.6"/>
        <n v="75.7"/>
        <n v="33.9"/>
        <n v="65.2"/>
        <n v="92.5"/>
        <n v="36.700000000000003"/>
        <n v="45.8"/>
        <n v="51.2"/>
        <n v="89.9"/>
        <n v="68.3"/>
        <n v="39.299999999999997"/>
        <n v="32"/>
        <n v="86.5"/>
        <n v="58.5"/>
        <n v="52.5"/>
        <n v="88.7"/>
        <n v="45.4"/>
        <n v="44.9"/>
        <n v="68.599999999999994"/>
        <n v="43.3"/>
        <n v="36.4"/>
        <n v="87.6"/>
        <n v="30.9"/>
        <n v="58.9"/>
        <n v="50.1"/>
        <n v="47"/>
        <n v="52.3"/>
        <n v="40"/>
        <n v="37"/>
        <n v="32.200000000000003"/>
        <n v="71.900000000000006"/>
        <n v="63.4"/>
        <n v="38.799999999999997"/>
        <n v="60.1"/>
        <n v="27.8"/>
        <n v="68.2"/>
        <n v="72.8"/>
        <n v="66.900000000000006"/>
        <n v="48.6"/>
        <n v="18.2"/>
        <n v="70.900000000000006"/>
        <n v="56.9"/>
        <n v="68.900000000000006"/>
        <n v="29.6"/>
        <n v="53.2"/>
        <n v="47.5"/>
        <n v="31.3"/>
        <n v="17.7"/>
        <n v="77.3"/>
        <n v="48.1"/>
        <n v="264.10000000000002"/>
        <n v="29.3"/>
        <n v="28.8"/>
        <n v="42.2"/>
        <n v="58.3"/>
        <n v="86"/>
        <n v="63.5"/>
        <n v="11.7"/>
        <n v="61.5"/>
        <n v="13.4"/>
        <n v="11.5"/>
        <n v="123.3"/>
        <n v="82"/>
        <n v="68.8"/>
        <n v="28.4"/>
        <n v="57.1"/>
        <n v="51"/>
        <n v="104.6"/>
        <n v="78.900000000000006"/>
        <n v="57.4"/>
        <n v="71"/>
        <n v="65.5"/>
        <n v="53.7"/>
        <n v="61.2"/>
        <n v="81.099999999999994"/>
        <n v="38.1"/>
        <n v="25.8"/>
        <n v="35.4"/>
        <n v="61.1"/>
        <n v="57.9"/>
        <n v="47.9"/>
        <n v="36.799999999999997"/>
        <n v="72"/>
        <n v="78.400000000000006"/>
        <n v="60.2"/>
        <n v="31.8"/>
        <n v="28.5"/>
        <n v="33.700000000000003"/>
        <n v="51.4"/>
        <n v="76.400000000000006"/>
        <n v="48.7"/>
        <n v="60.4"/>
        <n v="55.3"/>
        <n v="57.2"/>
        <n v="29.5"/>
        <n v="30.5"/>
        <n v="31.2"/>
        <n v="38.299999999999997"/>
        <n v="33.5"/>
        <n v="44.4"/>
        <n v="77.099999999999994"/>
        <n v="60.9"/>
        <n v="27.9"/>
        <n v="48.2"/>
        <n v="44"/>
        <n v="88.3"/>
        <n v="79.599999999999994"/>
        <n v="70.099999999999994"/>
        <n v="21.1"/>
        <n v="58.1"/>
        <n v="8.3000000000000007"/>
      </sharedItems>
    </cacheField>
    <cacheField name="Тип сделки" numFmtId="0">
      <sharedItems/>
    </cacheField>
    <cacheField name="Дата сделки" numFmtId="0">
      <sharedItems containsSemiMixedTypes="0" containsDate="1" containsString="0" containsMixedTypes="1" minDate="2008-07-01T00:00:00" maxDate="2017-03-02T00:00:00"/>
    </cacheField>
    <cacheField name="Дата регистрации/ предложения" numFmtId="0">
      <sharedItems containsSemiMixedTypes="0" containsDate="1" containsString="0" containsMixedTypes="1" minDate="2016-10-01T00:00:00" maxDate="2017-03-02T00:00:00"/>
    </cacheField>
    <cacheField name="Цена сделки/ предложения, руб." numFmtId="0">
      <sharedItems containsSemiMixedTypes="0" containsString="0" containsNumber="1" minValue="150500" maxValue="9444000"/>
    </cacheField>
    <cacheField name="Удельная цена сделки/ предложения, руб./кв.м." numFmtId="0">
      <sharedItems containsSemiMixedTypes="0" containsString="0" containsNumber="1" minValue="5994.11" maxValue="56047.199999999997"/>
    </cacheField>
    <cacheField name="количество сделок" numFmtId="0">
      <sharedItems containsSemiMixedTypes="0" containsString="0" containsNumber="1" containsInteger="1" minValue="1" maxValue="1"/>
    </cacheField>
    <cacheField name="Ограничения (обременения) вещных прав" numFmtId="0">
      <sharedItems/>
    </cacheField>
    <cacheField name="Наименование" numFmtId="0">
      <sharedItems/>
    </cacheField>
    <cacheField name="Район" numFmtId="0">
      <sharedItems containsBlank="1"/>
    </cacheField>
    <cacheField name="Город / Нас.пункт" numFmtId="0">
      <sharedItems count="25">
        <s v="Авдон"/>
        <s v="Акъяр"/>
        <s v="Архангельское"/>
        <s v="Аскарово"/>
        <s v="Баймак"/>
        <s v="Бакалы"/>
        <s v="Белебей"/>
        <s v="Буздяк"/>
        <s v="Бураево"/>
        <s v="Дюртюли"/>
        <s v="Караидель"/>
        <s v="Кармаскалы"/>
        <s v="Красноусольский"/>
        <s v="Кудеевский"/>
        <s v="Кумертау"/>
        <s v="Мелеуз"/>
        <s v="Нефтекамск"/>
        <s v="Новобелокатай"/>
        <s v="Салават"/>
        <s v="Сибай"/>
        <s v="Туймазы"/>
        <s v="Учалы"/>
        <s v="Федоровка"/>
        <s v="Языково"/>
        <s v="Янаул"/>
      </sharedItems>
    </cacheField>
    <cacheField name="Улица" numFmtId="0">
      <sharedItems containsBlank="1"/>
    </cacheField>
    <cacheField name="Номер  этажа" numFmtId="0">
      <sharedItems containsBlank="1" containsMixedTypes="1" containsNumber="1" containsInteger="1" minValue="1" maxValue="10"/>
    </cacheField>
    <cacheField name="Количество объектов в сделке" numFmtId="0">
      <sharedItems containsSemiMixedTypes="0" containsString="0" containsNumber="1" containsInteger="1" minValue="1" maxValue="2"/>
    </cacheField>
    <cacheField name="Год ввода в эксплуатацию" numFmtId="0">
      <sharedItems containsSemiMixedTypes="0" containsString="0" containsNumber="1" containsInteger="1" minValue="1999" maxValue="20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Салимьянова Эльвира Винарисовна" refreshedDate="42999.716559837965" createdVersion="5" refreshedVersion="5" minRefreshableVersion="3" recordCount="115">
  <cacheSource type="worksheet">
    <worksheetSource ref="B2:L111" sheet="Кратко Кв.Реализация"/>
  </cacheSource>
  <cacheFields count="11">
    <cacheField name="Город, село" numFmtId="4">
      <sharedItems count="26">
        <s v=" г. Баймак"/>
        <s v=" г. Янаул"/>
        <s v=" с. Архангельское"/>
        <s v=" с. Буздяк"/>
        <s v="с. Красноусольский"/>
        <s v=" г. Кумертау, с. Маячный"/>
        <s v=" г. Учалы"/>
        <s v=" г. Мелеуз"/>
        <s v="с. Новобелокатай"/>
        <s v=" с. Языково, ул. Чапаева, д. 29"/>
        <s v=" с. Красноусольский"/>
        <s v=" с. Мишкино"/>
        <s v=" г. Кумертау"/>
        <s v=" с. Ермекеево"/>
        <s v="г. Белебей"/>
        <s v=" с.Буздяк "/>
        <s v=" с. Красная Горка"/>
        <s v=" с. Наумовка"/>
        <s v=" с. Бакалы"/>
        <s v="с. Кудеевский, литер 3"/>
        <s v="с. Караидель"/>
        <s v=" г. Сибай"/>
        <s v="г. Уфа"/>
        <s v="г. Дюртюли"/>
        <s v="с. Кармаскалы"/>
        <s v=" с. Языково"/>
      </sharedItems>
    </cacheField>
    <cacheField name="Улица" numFmtId="4">
      <sharedItems count="32">
        <s v="ул. Победы, д. 7"/>
        <s v="ул. Пархоменко, д.2"/>
        <s v="ул. Ворошилова, д. 113/1 Б"/>
        <s v=" ул. Ворошилова, д. 113/1 Б"/>
        <s v=" мкр. &quot;Южный&quot;, ул. Уртакульская, д. 26"/>
        <s v="ул. Чекмарева, д. 3а"/>
        <s v="ул. Свердлова, д. 130/3"/>
        <s v="ул. Гафури, д. 17 А"/>
        <s v=" ул. Уртакульская, д. 28/1"/>
        <s v=" ул. М.Горького, д. 19/1, мкр.9"/>
        <s v=" ул. Ленина, д. 12"/>
        <s v="ул. Школьная, д. 5 А"/>
        <s v=" ул. Чапаева, д. 29"/>
        <s v="ул. Садовая, д. 27"/>
        <s v="ул. Юбилейная, д. 6 б/1"/>
        <s v="ул. Энергетиков, д. 25, в 6 м на запад"/>
        <s v=" ул. Школьная, д. 19 (литер 1)"/>
        <s v="ул. Пролетарская, д. 66/9"/>
        <s v=" ул. Садовая, д. 27/1"/>
        <s v=" жилой дом №26/1 по ул.Уртакульская"/>
        <s v="ул. Мира, д. 11"/>
        <s v=" ул. Ленина, д. 35а, литер 2"/>
        <s v=" ул. Шакирьянова, д. 47"/>
        <s v="ул. Школьная, д. 2Б"/>
        <s v=" литер 3"/>
        <s v="ул. Мира, д. 15"/>
        <s v="ул. Куйбышева, д. 11"/>
        <s v="г. Уфа, Калининский район, ул. Сельская, Литер 6"/>
        <s v="ул. Ленина, д. 13А"/>
        <s v=" ул. Якутова, д. 5"/>
        <s v="ул. Рафикова, д. 17"/>
        <s v=" ул. Чапаева, д. 31"/>
      </sharedItems>
    </cacheField>
    <cacheField name="Площадь помещений, м2 с уч. коэфф. лоджий и балконов" numFmtId="4">
      <sharedItems containsSemiMixedTypes="0" containsString="0" containsNumber="1" minValue="28.5" maxValue="75.7"/>
    </cacheField>
    <cacheField name="Год ввода в эксплуатацию" numFmtId="0">
      <sharedItems containsSemiMixedTypes="0" containsString="0" containsNumber="1" containsInteger="1" minValue="2012" maxValue="2016"/>
    </cacheField>
    <cacheField name="Мертвые" numFmtId="0">
      <sharedItems containsBlank="1"/>
    </cacheField>
    <cacheField name="Цена реализации, руб._x000a_сейчас" numFmtId="4">
      <sharedItems containsSemiMixedTypes="0" containsString="0" containsNumber="1" minValue="920020" maxValue="2157450"/>
    </cacheField>
    <cacheField name="% скидки" numFmtId="10">
      <sharedItems containsString="0" containsBlank="1" containsNumber="1" minValue="0.02" maxValue="0.16"/>
    </cacheField>
    <cacheField name="Цена реализации по найму с выкупом" numFmtId="4">
      <sharedItems containsSemiMixedTypes="0" containsString="0" containsNumber="1" minValue="898380.00000000012" maxValue="2025600"/>
    </cacheField>
    <cacheField name="Превышение баланса в сделках найма" numFmtId="0">
      <sharedItems containsSemiMixedTypes="0" containsString="0" containsNumber="1" minValue="-568273.94999999995" maxValue="0"/>
    </cacheField>
    <cacheField name="Балансовая стоимость квартир, руб." numFmtId="4">
      <sharedItems containsSemiMixedTypes="0" containsString="0" containsNumber="1" minValue="887639.64" maxValue="2054190.55"/>
    </cacheField>
    <cacheField name="прибыль/убыток" numFmtId="4">
      <sharedItems containsSemiMixedTypes="0" containsString="0" containsNumber="1" minValue="-568273.94999999995" maxValue="228072.27000000002" count="107">
        <n v="-81674.479999999981"/>
        <n v="-255443.35000000009"/>
        <n v="-255443.37000000011"/>
        <n v="-568273.94999999995"/>
        <n v="149503.16999999993"/>
        <n v="-125192.82000000007"/>
        <n v="-107637.75"/>
        <n v="-32541.100000000093"/>
        <n v="-124715.80000000005"/>
        <n v="-164595.35000000009"/>
        <n v="63966.040000000037"/>
        <n v="62630.790000000037"/>
        <n v="63166.290000000037"/>
        <n v="75038.270000000019"/>
        <n v="75745.179999999935"/>
        <n v="115941.18999999994"/>
        <n v="61222.320000000065"/>
        <n v="120106.37999999989"/>
        <n v="141567.5"/>
        <n v="130698.57000000007"/>
        <n v="100849.12999999989"/>
        <n v="17765.070000000065"/>
        <n v="15400"/>
        <n v="8800"/>
        <n v="19800"/>
        <n v="13200"/>
        <n v="24200"/>
        <n v="-106977.1100000001"/>
        <n v="-108401.10000000009"/>
        <n v="-100687.34000000008"/>
        <n v="48989.770000000019"/>
        <n v="-115960.10000000009"/>
        <n v="-92459.290000000037"/>
        <n v="-60069.290000000037"/>
        <n v="-57639.290000000037"/>
        <n v="-61407.449999999953"/>
        <n v="-176217.7899999998"/>
        <n v="-128114.48999999999"/>
        <n v="-34133.860000000102"/>
        <n v="-156775.49"/>
        <n v="202669.02000000002"/>
        <n v="228029.02000000002"/>
        <n v="209009.02000000002"/>
        <n v="185064.65999999992"/>
        <n v="150194.65999999992"/>
        <n v="147024.66999999993"/>
        <n v="-53157.159999999916"/>
        <n v="-56390.030000000028"/>
        <n v="-68337.159999999916"/>
        <n v="-65807.159999999916"/>
        <n v="-52575.419999999925"/>
        <n v="-50173.610000000102"/>
        <n v="-45457.300000000047"/>
        <n v="-52401.300000000047"/>
        <n v="-55997.300000000047"/>
        <n v="28322.699999999953"/>
        <n v="10740.360000000102"/>
        <n v="19841.699999999953"/>
        <n v="19549.209999999963"/>
        <n v="-105219.91999999993"/>
        <n v="-156030.25"/>
        <n v="-153510.25000000023"/>
        <n v="-150990.25"/>
        <n v="-100798.90999999992"/>
        <n v="-56326.729999999981"/>
        <n v="-98690.729999999981"/>
        <n v="-101182.72999999998"/>
        <n v="-96198.729999999981"/>
        <n v="-63214.729999999981"/>
        <n v="-82289.010000000009"/>
        <n v="66809.959999999963"/>
        <n v="-14037.629999999888"/>
        <n v="38316.800000000047"/>
        <n v="73807.800000000047"/>
        <n v="12665.25"/>
        <n v="-45357.149999999907"/>
        <n v="-50867.149999999907"/>
        <n v="-48112.149999999907"/>
        <n v="-69310.860000000102"/>
        <n v="-21723.070000000065"/>
        <n v="-44731.070000000065"/>
        <n v="9870.4700000000885"/>
        <n v="-3171.3999999999069"/>
        <n v="224905.25"/>
        <n v="228072.27000000002"/>
        <n v="1284.7700000000186"/>
        <n v="92160.239999999991"/>
        <n v="150164.77000000002"/>
        <n v="31303.390000000014"/>
        <n v="13918.870000000112"/>
        <n v="8158.8700000001118"/>
        <n v="18919.390000000014"/>
        <n v="-83587.600000000093"/>
        <n v="21895.390000000014"/>
        <n v="3100.6700000000419"/>
        <n v="-141669.55000000005"/>
        <n v="-137133.05000000005"/>
        <n v="-103576.85000000009"/>
        <n v="-132060.05000000005"/>
        <n v="-70589.439999999944"/>
        <n v="-54376.260000000009"/>
        <n v="-56928.260000000009"/>
        <n v="-87844.439999999944"/>
        <n v="-128185.70999999996"/>
        <n v="-82738.260000000009"/>
        <n v="-180472.70999999996"/>
        <n v="-68723.86000000010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8">
  <r>
    <x v="0"/>
    <x v="0"/>
    <s v="Договор купли-продажи"/>
    <d v="2017-02-01T00:00:00"/>
    <d v="2017-02-01T00:00:00"/>
    <n v="950000"/>
    <n v="14683.15"/>
    <n v="1"/>
    <s v="Ипотека"/>
    <s v="Квартира"/>
    <s v="Уфимский"/>
    <x v="0"/>
    <s v="60 лет СССР"/>
    <n v="2"/>
    <n v="2"/>
    <n v="2005"/>
  </r>
  <r>
    <x v="0"/>
    <x v="0"/>
    <s v="Договор купли-продажи"/>
    <d v="2017-02-01T00:00:00"/>
    <d v="2017-02-01T00:00:00"/>
    <n v="950000"/>
    <n v="14683.15"/>
    <n v="1"/>
    <s v="Ипотека"/>
    <s v="Квартира"/>
    <s v="Уфимский"/>
    <x v="0"/>
    <s v="60 лет СССР"/>
    <n v="2"/>
    <n v="2"/>
    <n v="2005"/>
  </r>
  <r>
    <x v="0"/>
    <x v="1"/>
    <s v="Договор купли-продажи"/>
    <d v="2016-11-01T00:00:00"/>
    <d v="2016-12-01T00:00:00"/>
    <n v="600000"/>
    <n v="14962.59"/>
    <n v="1"/>
    <s v="Ипотека"/>
    <s v="Квартира"/>
    <s v="Уфимский"/>
    <x v="0"/>
    <s v="Молодежная"/>
    <n v="2"/>
    <n v="1"/>
    <n v="2008"/>
  </r>
  <r>
    <x v="1"/>
    <x v="2"/>
    <s v="Договор купли-продажи"/>
    <d v="2016-10-01T00:00:00"/>
    <d v="2016-10-01T00:00:00"/>
    <n v="610000"/>
    <n v="20333.330000000002"/>
    <n v="1"/>
    <s v="Ипотека"/>
    <s v="Квартира"/>
    <s v="Уфимский"/>
    <x v="0"/>
    <s v="Лесопарковая"/>
    <n v="1"/>
    <n v="1"/>
    <n v="2010"/>
  </r>
  <r>
    <x v="2"/>
    <x v="3"/>
    <s v="Договор купли-продажи"/>
    <d v="2016-11-01T00:00:00"/>
    <d v="2016-12-01T00:00:00"/>
    <n v="749620"/>
    <n v="21235.69"/>
    <n v="1"/>
    <s v="Ипотека"/>
    <s v="Квартира"/>
    <s v="Уфимский"/>
    <x v="0"/>
    <s v="Салавата Юлаева"/>
    <n v="2"/>
    <n v="2"/>
    <n v="2016"/>
  </r>
  <r>
    <x v="2"/>
    <x v="3"/>
    <s v="Договор купли-продажи"/>
    <d v="2016-11-01T00:00:00"/>
    <d v="2016-12-01T00:00:00"/>
    <n v="749620"/>
    <n v="21235.69"/>
    <n v="1"/>
    <s v="Ипотека"/>
    <s v="Квартира"/>
    <s v="Уфимский"/>
    <x v="0"/>
    <s v="Салавата Юлаева"/>
    <n v="2"/>
    <n v="2"/>
    <n v="2016"/>
  </r>
  <r>
    <x v="2"/>
    <x v="4"/>
    <s v="Договор купли-продажи"/>
    <d v="2016-12-01T00:00:00"/>
    <d v="2017-01-01T00:00:00"/>
    <n v="1152480"/>
    <n v="23520"/>
    <n v="1"/>
    <s v="Ипотека"/>
    <s v="Квартира"/>
    <s v="Уфимский"/>
    <x v="0"/>
    <s v="Салавата Юлаева"/>
    <n v="3"/>
    <n v="2"/>
    <n v="2016"/>
  </r>
  <r>
    <x v="2"/>
    <x v="4"/>
    <s v="Договор купли-продажи"/>
    <d v="2016-12-01T00:00:00"/>
    <d v="2017-01-01T00:00:00"/>
    <n v="1152480"/>
    <n v="23520"/>
    <n v="1"/>
    <s v="Ипотека"/>
    <s v="Квартира"/>
    <s v="Уфимский"/>
    <x v="0"/>
    <s v="Салавата Юлаева"/>
    <n v="3"/>
    <n v="2"/>
    <n v="2016"/>
  </r>
  <r>
    <x v="0"/>
    <x v="5"/>
    <s v="Договор купли-продажи"/>
    <d v="2016-11-01T00:00:00"/>
    <d v="2016-11-01T00:00:00"/>
    <n v="750000"/>
    <n v="24193.55"/>
    <n v="1"/>
    <s v="Ипотека"/>
    <s v="Квартира"/>
    <s v="Уфимский"/>
    <x v="0"/>
    <s v="60 лет СССР"/>
    <n v="2"/>
    <n v="2"/>
    <n v="2016"/>
  </r>
  <r>
    <x v="0"/>
    <x v="5"/>
    <s v="Договор купли-продажи"/>
    <d v="2016-11-01T00:00:00"/>
    <d v="2016-11-01T00:00:00"/>
    <n v="750000"/>
    <n v="24193.55"/>
    <n v="1"/>
    <s v="Ипотека"/>
    <s v="Квартира"/>
    <s v="Уфимский"/>
    <x v="0"/>
    <s v="60 лет СССР"/>
    <n v="2"/>
    <n v="2"/>
    <n v="2016"/>
  </r>
  <r>
    <x v="3"/>
    <x v="6"/>
    <s v="Договор купли-продажи"/>
    <d v="2017-03-01T00:00:00"/>
    <d v="2017-03-01T00:00:00"/>
    <n v="1000000"/>
    <n v="27322.400000000001"/>
    <n v="1"/>
    <s v="Ипотека"/>
    <s v="Квартира"/>
    <s v="Уфимский"/>
    <x v="0"/>
    <s v="60 лет СССР"/>
    <n v="4"/>
    <n v="2"/>
    <n v="2011"/>
  </r>
  <r>
    <x v="3"/>
    <x v="6"/>
    <s v="Договор купли-продажи"/>
    <d v="2017-03-01T00:00:00"/>
    <d v="2017-03-01T00:00:00"/>
    <n v="1000000"/>
    <n v="27322.400000000001"/>
    <n v="1"/>
    <s v="Ипотека"/>
    <s v="Квартира"/>
    <s v="Уфимский"/>
    <x v="0"/>
    <s v="60 лет СССР"/>
    <n v="4"/>
    <n v="2"/>
    <n v="2011"/>
  </r>
  <r>
    <x v="2"/>
    <x v="7"/>
    <s v="Договор купли-продажи"/>
    <d v="2016-12-01T00:00:00"/>
    <d v="2017-01-01T00:00:00"/>
    <n v="1413000"/>
    <n v="28316.63"/>
    <n v="1"/>
    <s v="Ипотека"/>
    <s v="Квартира"/>
    <s v="Уфимский"/>
    <x v="0"/>
    <s v="Салавата Юлаева"/>
    <n v="2"/>
    <n v="1"/>
    <n v="2016"/>
  </r>
  <r>
    <x v="4"/>
    <x v="8"/>
    <s v="Договор купли-продажи"/>
    <d v="2016-10-01T00:00:00"/>
    <d v="2016-10-01T00:00:00"/>
    <n v="1784000"/>
    <n v="38283.26"/>
    <n v="1"/>
    <s v="Ипотека"/>
    <s v="Квартира"/>
    <s v="Уфимский"/>
    <x v="0"/>
    <s v="Фрунзе"/>
    <n v="3"/>
    <n v="2"/>
    <n v="2014"/>
  </r>
  <r>
    <x v="4"/>
    <x v="8"/>
    <s v="Договор купли-продажи"/>
    <d v="2016-10-01T00:00:00"/>
    <d v="2016-10-01T00:00:00"/>
    <n v="1784000"/>
    <n v="38283.26"/>
    <n v="1"/>
    <s v="Ипотека"/>
    <s v="Квартира"/>
    <s v="Уфимский"/>
    <x v="0"/>
    <s v="Фрунзе"/>
    <n v="3"/>
    <n v="2"/>
    <n v="2014"/>
  </r>
  <r>
    <x v="3"/>
    <x v="9"/>
    <s v="Договор купли-продажи"/>
    <d v="2017-03-01T00:00:00"/>
    <d v="2017-03-01T00:00:00"/>
    <n v="1190000"/>
    <n v="39403.97"/>
    <n v="1"/>
    <s v="Ипотека"/>
    <s v="Квартира"/>
    <s v="Уфимский"/>
    <x v="0"/>
    <s v="Молодежная"/>
    <n v="2"/>
    <n v="1"/>
    <n v="2015"/>
  </r>
  <r>
    <x v="0"/>
    <x v="10"/>
    <s v="Договор купли-продажи"/>
    <d v="2017-02-01T00:00:00"/>
    <d v="2017-02-01T00:00:00"/>
    <n v="2050000"/>
    <n v="39805.83"/>
    <n v="1"/>
    <s v="Ипотека"/>
    <s v="Квартира"/>
    <s v="Уфимский"/>
    <x v="0"/>
    <s v="60 лет СССР"/>
    <n v="1"/>
    <n v="1"/>
    <n v="2007"/>
  </r>
  <r>
    <x v="0"/>
    <x v="11"/>
    <s v="Договор купли-продажи"/>
    <d v="2016-10-01T00:00:00"/>
    <d v="2016-10-01T00:00:00"/>
    <n v="2522000"/>
    <n v="40809.06"/>
    <n v="1"/>
    <s v="Ипотека"/>
    <s v="Квартира"/>
    <s v="Уфимский"/>
    <x v="0"/>
    <s v="Молодежная"/>
    <n v="3"/>
    <n v="2"/>
    <n v="2008"/>
  </r>
  <r>
    <x v="0"/>
    <x v="11"/>
    <s v="Договор купли-продажи"/>
    <d v="2016-10-01T00:00:00"/>
    <d v="2016-10-01T00:00:00"/>
    <n v="2522000"/>
    <n v="40809.06"/>
    <n v="1"/>
    <s v="Ипотека"/>
    <s v="Квартира"/>
    <s v="Уфимский"/>
    <x v="0"/>
    <s v="Молодежная"/>
    <n v="3"/>
    <n v="2"/>
    <n v="2008"/>
  </r>
  <r>
    <x v="0"/>
    <x v="2"/>
    <s v="Договор купли-продажи"/>
    <d v="2016-10-01T00:00:00"/>
    <d v="2016-10-01T00:00:00"/>
    <n v="1250000"/>
    <n v="41666.67"/>
    <n v="1"/>
    <s v="Ипотека"/>
    <s v="Квартира"/>
    <s v="Уфимский"/>
    <x v="0"/>
    <s v="60 лет СССР"/>
    <n v="3"/>
    <n v="2"/>
    <n v="2000"/>
  </r>
  <r>
    <x v="0"/>
    <x v="2"/>
    <s v="Договор купли-продажи"/>
    <d v="2016-10-01T00:00:00"/>
    <d v="2016-10-01T00:00:00"/>
    <n v="1250000"/>
    <n v="41666.67"/>
    <n v="1"/>
    <s v="Ипотека"/>
    <s v="Квартира"/>
    <s v="Уфимский"/>
    <x v="0"/>
    <s v="60 лет СССР"/>
    <n v="3"/>
    <n v="2"/>
    <n v="2000"/>
  </r>
  <r>
    <x v="1"/>
    <x v="12"/>
    <s v="Договор купли-продажи"/>
    <d v="2016-12-01T00:00:00"/>
    <d v="2016-12-01T00:00:00"/>
    <n v="2118000"/>
    <n v="45353.32"/>
    <n v="1"/>
    <s v="Ипотека"/>
    <s v="Квартира"/>
    <s v="Уфимский"/>
    <x v="0"/>
    <s v="Лесопарковая"/>
    <n v="1"/>
    <n v="1"/>
    <n v="2010"/>
  </r>
  <r>
    <x v="5"/>
    <x v="13"/>
    <s v="Договор купли-продажи"/>
    <d v="2016-10-01T00:00:00"/>
    <d v="2016-10-01T00:00:00"/>
    <n v="700000"/>
    <n v="13307.98"/>
    <n v="1"/>
    <s v="Ипотека"/>
    <s v="Квартира"/>
    <s v="Хайбуллинский"/>
    <x v="1"/>
    <s v="Акмуллы"/>
    <n v="2"/>
    <n v="1"/>
    <n v="2008"/>
  </r>
  <r>
    <x v="6"/>
    <x v="14"/>
    <s v="Договор купли-продажи"/>
    <d v="2017-02-01T00:00:00"/>
    <d v="2017-02-01T00:00:00"/>
    <n v="454000"/>
    <n v="14012.35"/>
    <n v="1"/>
    <s v="Ипотека"/>
    <s v="Квартира"/>
    <s v="Хайбуллинский"/>
    <x v="1"/>
    <s v="Юбилейная"/>
    <n v="1"/>
    <n v="1"/>
    <n v="2016"/>
  </r>
  <r>
    <x v="7"/>
    <x v="15"/>
    <s v="Договор купли-продажи"/>
    <d v="2016-08-01T00:00:00"/>
    <d v="2016-12-01T00:00:00"/>
    <n v="1619134"/>
    <n v="32775.99"/>
    <n v="1"/>
    <s v="Ипотека"/>
    <s v="Квартира"/>
    <s v="Хайбуллинский"/>
    <x v="1"/>
    <s v="Газима Шафикова"/>
    <n v="2"/>
    <n v="1"/>
    <n v="2016"/>
  </r>
  <r>
    <x v="8"/>
    <x v="16"/>
    <s v="Договор купли-продажи"/>
    <d v="2017-02-01T00:00:00"/>
    <d v="2017-02-01T00:00:00"/>
    <n v="454000"/>
    <n v="6806.6"/>
    <n v="1"/>
    <s v="Ипотека"/>
    <s v="Квартира"/>
    <s v="Архангельский"/>
    <x v="2"/>
    <s v="Чкалова"/>
    <n v="1"/>
    <n v="1"/>
    <n v="2006"/>
  </r>
  <r>
    <x v="9"/>
    <x v="17"/>
    <s v="Договор купли-продажи"/>
    <d v="2017-02-01T00:00:00"/>
    <d v="2017-03-01T00:00:00"/>
    <n v="453026"/>
    <n v="12016.6"/>
    <n v="1"/>
    <s v="Ипотека"/>
    <s v="Квартира"/>
    <s v="Абзелиловский"/>
    <x v="3"/>
    <s v="Шаймуратова"/>
    <n v="1"/>
    <n v="1"/>
    <n v="2015"/>
  </r>
  <r>
    <x v="10"/>
    <x v="18"/>
    <s v="Договор купли-продажи"/>
    <d v="2017-02-01T00:00:00"/>
    <d v="2017-02-01T00:00:00"/>
    <n v="775000"/>
    <n v="14790.08"/>
    <n v="1"/>
    <s v="Ипотека"/>
    <s v="Помещение"/>
    <s v="Абзелиловский"/>
    <x v="3"/>
    <s v="Учалинская"/>
    <n v="1"/>
    <n v="1"/>
    <n v="2010"/>
  </r>
  <r>
    <x v="11"/>
    <x v="19"/>
    <s v="Договор купли-продажи"/>
    <d v="2016-12-01T00:00:00"/>
    <d v="2016-12-01T00:00:00"/>
    <n v="500000"/>
    <n v="15576.32"/>
    <n v="1"/>
    <s v="Ипотека"/>
    <s v="Квартира"/>
    <s v="Абзелиловский"/>
    <x v="3"/>
    <s v="Рауфа Давлетова"/>
    <n v="3"/>
    <n v="1"/>
    <n v="2012"/>
  </r>
  <r>
    <x v="10"/>
    <x v="20"/>
    <s v="Договор купли-продажи"/>
    <d v="2016-11-01T00:00:00"/>
    <d v="2016-12-01T00:00:00"/>
    <n v="700000"/>
    <n v="16091.95"/>
    <n v="1"/>
    <s v="Ипотека"/>
    <s v="Квартира"/>
    <s v="Абзелиловский"/>
    <x v="3"/>
    <s v="Учалинская"/>
    <n v="2"/>
    <n v="1"/>
    <n v="2008"/>
  </r>
  <r>
    <x v="12"/>
    <x v="21"/>
    <s v="Договор купли-продажи"/>
    <d v="2016-10-01T00:00:00"/>
    <d v="2016-10-01T00:00:00"/>
    <n v="996000"/>
    <n v="24714.639999999999"/>
    <n v="1"/>
    <s v="Ипотека"/>
    <s v="Квартира"/>
    <s v="Абзелиловский"/>
    <x v="3"/>
    <s v="Матросова"/>
    <n v="2"/>
    <n v="1"/>
    <n v="2002"/>
  </r>
  <r>
    <x v="13"/>
    <x v="22"/>
    <s v="Договор купли-продажи"/>
    <d v="2017-02-01T00:00:00"/>
    <d v="2017-02-01T00:00:00"/>
    <n v="500000"/>
    <n v="10752.69"/>
    <n v="1"/>
    <s v="Ипотека"/>
    <s v="Квартира"/>
    <s v="Баймакский"/>
    <x v="4"/>
    <s v="С.Чекмарева"/>
    <n v="2"/>
    <n v="1"/>
    <n v="2001"/>
  </r>
  <r>
    <x v="13"/>
    <x v="23"/>
    <s v="Договор купли-продажи"/>
    <d v="2016-10-01T00:00:00"/>
    <d v="2016-10-01T00:00:00"/>
    <n v="350000"/>
    <n v="13011.15"/>
    <n v="1"/>
    <s v="Ипотека"/>
    <s v="Квартира"/>
    <s v="Баймакский"/>
    <x v="4"/>
    <s v="Победы"/>
    <n v="3"/>
    <n v="1"/>
    <n v="2011"/>
  </r>
  <r>
    <x v="14"/>
    <x v="24"/>
    <s v="Договор купли-продажи"/>
    <d v="2016-09-01T00:00:00"/>
    <d v="2016-10-01T00:00:00"/>
    <n v="620000"/>
    <n v="13686.53"/>
    <n v="1"/>
    <s v="Ипотека"/>
    <s v="Квартира"/>
    <s v="Баймакский"/>
    <x v="4"/>
    <s v="С.Юлаева"/>
    <n v="3"/>
    <n v="2"/>
    <n v="2011"/>
  </r>
  <r>
    <x v="14"/>
    <x v="24"/>
    <s v="Договор купли-продажи"/>
    <d v="2016-09-01T00:00:00"/>
    <d v="2016-10-01T00:00:00"/>
    <n v="620000"/>
    <n v="13686.53"/>
    <n v="1"/>
    <s v="Ипотека"/>
    <s v="Квартира"/>
    <s v="Баймакский"/>
    <x v="4"/>
    <s v="С.Юлаева"/>
    <n v="3"/>
    <n v="2"/>
    <n v="2011"/>
  </r>
  <r>
    <x v="13"/>
    <x v="25"/>
    <s v="Договор купли-продажи"/>
    <d v="2016-11-01T00:00:00"/>
    <d v="2016-12-01T00:00:00"/>
    <n v="600000"/>
    <n v="13824.88"/>
    <n v="1"/>
    <s v="Ипотека"/>
    <s v="Квартира"/>
    <s v="Баймакский"/>
    <x v="4"/>
    <s v="Победы"/>
    <n v="2"/>
    <n v="1"/>
    <n v="2016"/>
  </r>
  <r>
    <x v="15"/>
    <x v="26"/>
    <s v="Договор купли-продажи"/>
    <d v="2017-03-01T00:00:00"/>
    <d v="2017-03-01T00:00:00"/>
    <n v="453100"/>
    <n v="14338.61"/>
    <n v="1"/>
    <s v="Ипотека"/>
    <s v="Квартира"/>
    <s v="Баймакский"/>
    <x v="4"/>
    <s v="С.Юлаева"/>
    <n v="3"/>
    <n v="1"/>
    <n v="2008"/>
  </r>
  <r>
    <x v="13"/>
    <x v="27"/>
    <s v="Договор купли-продажи"/>
    <d v="2016-10-01T00:00:00"/>
    <d v="2016-10-01T00:00:00"/>
    <n v="800000"/>
    <n v="19184.650000000001"/>
    <n v="1"/>
    <s v="Ипотека"/>
    <s v="Квартира"/>
    <s v="Баймакский"/>
    <x v="4"/>
    <s v="Мира"/>
    <n v="2"/>
    <n v="1"/>
    <n v="2006"/>
  </r>
  <r>
    <x v="14"/>
    <x v="28"/>
    <s v="Договор купли-продажи"/>
    <d v="2016-12-01T00:00:00"/>
    <d v="2016-12-01T00:00:00"/>
    <n v="960000"/>
    <n v="19672.13"/>
    <n v="1"/>
    <s v="Ипотека"/>
    <s v="Квартира"/>
    <s v="Баймакский"/>
    <x v="4"/>
    <s v="С.Юлаева"/>
    <n v="5"/>
    <n v="1"/>
    <n v="2002"/>
  </r>
  <r>
    <x v="16"/>
    <x v="29"/>
    <s v="Договор купли-продажи"/>
    <d v="2016-12-01T00:00:00"/>
    <d v="2016-12-01T00:00:00"/>
    <n v="940000"/>
    <n v="19915.25"/>
    <n v="1"/>
    <s v="Ипотека"/>
    <s v="Квартира"/>
    <s v="Баймакский"/>
    <x v="4"/>
    <s v="Юбилейная"/>
    <n v="1"/>
    <n v="1"/>
    <n v="2007"/>
  </r>
  <r>
    <x v="13"/>
    <x v="30"/>
    <s v="Договор купли-продажи"/>
    <d v="2016-11-01T00:00:00"/>
    <d v="2016-11-01T00:00:00"/>
    <n v="443000"/>
    <n v="21822.66"/>
    <n v="1"/>
    <s v="Ипотека"/>
    <s v="Помещение"/>
    <s v="Баймакский"/>
    <x v="4"/>
    <s v="С.Чекмарева"/>
    <n v="1"/>
    <n v="1"/>
    <n v="2012"/>
  </r>
  <r>
    <x v="14"/>
    <x v="3"/>
    <s v="Договор купли-продажи"/>
    <d v="2017-01-01T00:00:00"/>
    <d v="2017-01-01T00:00:00"/>
    <n v="775200"/>
    <n v="21960.34"/>
    <n v="1"/>
    <s v="Ипотека"/>
    <s v="Квартира"/>
    <s v="Баймакский"/>
    <x v="4"/>
    <m/>
    <n v="1"/>
    <n v="1"/>
    <n v="2013"/>
  </r>
  <r>
    <x v="13"/>
    <x v="27"/>
    <s v="Договор купли-продажи"/>
    <d v="2016-11-01T00:00:00"/>
    <d v="2016-11-01T00:00:00"/>
    <n v="919200"/>
    <n v="22043.17"/>
    <n v="1"/>
    <s v="Ипотека"/>
    <s v="Квартира"/>
    <s v="Баймакский"/>
    <x v="4"/>
    <m/>
    <n v="1"/>
    <n v="1"/>
    <n v="2001"/>
  </r>
  <r>
    <x v="13"/>
    <x v="31"/>
    <s v="Договор купли-продажи"/>
    <d v="2016-11-01T00:00:00"/>
    <d v="2016-11-01T00:00:00"/>
    <n v="400000"/>
    <n v="26666.67"/>
    <n v="1"/>
    <s v="Ипотека"/>
    <s v="Квартира"/>
    <s v="Баймакский"/>
    <x v="4"/>
    <s v="Мира"/>
    <n v="2"/>
    <n v="1"/>
    <n v="2010"/>
  </r>
  <r>
    <x v="17"/>
    <x v="32"/>
    <s v="Договор купли-продажи"/>
    <d v="2016-12-01T00:00:00"/>
    <d v="2017-01-01T00:00:00"/>
    <n v="816300"/>
    <n v="18679.63"/>
    <n v="1"/>
    <s v="Ипотека"/>
    <s v="Квартира"/>
    <s v="Бакалинский"/>
    <x v="5"/>
    <s v="Шакирьянова"/>
    <n v="2"/>
    <n v="1"/>
    <n v="2016"/>
  </r>
  <r>
    <x v="17"/>
    <x v="33"/>
    <s v="Договор купли-продажи"/>
    <d v="2016-09-01T00:00:00"/>
    <d v="2016-10-01T00:00:00"/>
    <n v="1050000"/>
    <n v="20628.68"/>
    <n v="1"/>
    <s v="Ипотека"/>
    <s v="Помещение"/>
    <s v="Бакалинский"/>
    <x v="5"/>
    <s v="М.Горького"/>
    <n v="1"/>
    <n v="1"/>
    <n v="2014"/>
  </r>
  <r>
    <x v="18"/>
    <x v="34"/>
    <s v="Договор купли-продажи"/>
    <d v="2016-12-01T00:00:00"/>
    <d v="2016-12-01T00:00:00"/>
    <n v="750000"/>
    <n v="21551.72"/>
    <n v="1"/>
    <s v="Ипотека"/>
    <s v="Квартира"/>
    <s v="Бакалинский"/>
    <x v="5"/>
    <s v="Октябрьская"/>
    <n v="1"/>
    <n v="1"/>
    <n v="2002"/>
  </r>
  <r>
    <x v="19"/>
    <x v="35"/>
    <s v="Договор купли-продажи"/>
    <d v="2016-12-01T00:00:00"/>
    <d v="2016-12-01T00:00:00"/>
    <n v="759900"/>
    <n v="22957.7"/>
    <n v="1"/>
    <s v="Ипотека"/>
    <s v="Квартира"/>
    <s v="Бакалинский"/>
    <x v="5"/>
    <s v="Школьная"/>
    <n v="1"/>
    <n v="1"/>
    <n v="2016"/>
  </r>
  <r>
    <x v="19"/>
    <x v="36"/>
    <s v="Договор купли-продажи"/>
    <d v="2016-11-01T00:00:00"/>
    <d v="2016-11-01T00:00:00"/>
    <n v="768600"/>
    <n v="23011.98"/>
    <n v="1"/>
    <s v="Ипотека"/>
    <s v="Квартира"/>
    <s v="Бакалинский"/>
    <x v="5"/>
    <s v="Школьная"/>
    <n v="1"/>
    <n v="1"/>
    <n v="2016"/>
  </r>
  <r>
    <x v="19"/>
    <x v="37"/>
    <s v="Договор купли-продажи"/>
    <d v="2016-10-01T00:00:00"/>
    <d v="2016-11-01T00:00:00"/>
    <n v="1136000"/>
    <n v="23815.51"/>
    <n v="1"/>
    <s v="Ипотека"/>
    <s v="Квартира"/>
    <s v="Бакалинский"/>
    <x v="5"/>
    <s v="Школьная"/>
    <n v="2"/>
    <n v="1"/>
    <n v="2016"/>
  </r>
  <r>
    <x v="17"/>
    <x v="38"/>
    <s v="Договор купли-продажи"/>
    <d v="2016-08-01T00:00:00"/>
    <d v="2016-10-01T00:00:00"/>
    <n v="770700"/>
    <n v="24544.59"/>
    <n v="1"/>
    <s v="Ипотека"/>
    <s v="Квартира"/>
    <s v="Бакалинский"/>
    <x v="5"/>
    <s v="Шакирьянова"/>
    <n v="1"/>
    <n v="1"/>
    <n v="2015"/>
  </r>
  <r>
    <x v="20"/>
    <x v="39"/>
    <s v="Договор купли-продажи"/>
    <d v="2016-11-01T00:00:00"/>
    <d v="2016-12-01T00:00:00"/>
    <n v="428026"/>
    <n v="10313.879999999999"/>
    <n v="1"/>
    <s v="Ипотека"/>
    <s v="Квартира"/>
    <s v="Белебеевский"/>
    <x v="6"/>
    <s v="им В.И.Ленина"/>
    <n v="4"/>
    <n v="1"/>
    <n v="2016"/>
  </r>
  <r>
    <x v="21"/>
    <x v="40"/>
    <s v="Договор купли-продажи"/>
    <d v="2016-10-01T00:00:00"/>
    <d v="2016-10-01T00:00:00"/>
    <n v="428026"/>
    <n v="10490.83"/>
    <n v="1"/>
    <s v="Ипотека"/>
    <s v="Квартира"/>
    <s v="Белебеевский"/>
    <x v="6"/>
    <m/>
    <n v="2"/>
    <n v="1"/>
    <n v="2010"/>
  </r>
  <r>
    <x v="21"/>
    <x v="41"/>
    <s v="Договор купли-продажи"/>
    <d v="2017-02-01T00:00:00"/>
    <d v="2017-02-01T00:00:00"/>
    <n v="453026"/>
    <n v="10609.51"/>
    <n v="1"/>
    <s v="Ипотека"/>
    <s v="Квартира"/>
    <s v="Белебеевский"/>
    <x v="6"/>
    <m/>
    <n v="1"/>
    <n v="1"/>
    <n v="2000"/>
  </r>
  <r>
    <x v="22"/>
    <x v="42"/>
    <s v="Договор купли-продажи"/>
    <d v="2017-03-01T00:00:00"/>
    <d v="2017-03-01T00:00:00"/>
    <n v="419779.15"/>
    <n v="10791.24"/>
    <n v="1"/>
    <s v="Ипотека"/>
    <s v="Квартира"/>
    <s v="Белебеевский"/>
    <x v="6"/>
    <s v="Интернациональная"/>
    <n v="5"/>
    <n v="1"/>
    <n v="2005"/>
  </r>
  <r>
    <x v="23"/>
    <x v="43"/>
    <s v="Договор купли-продажи"/>
    <d v="2017-02-01T00:00:00"/>
    <d v="2017-03-01T00:00:00"/>
    <n v="400000"/>
    <n v="10958.9"/>
    <n v="1"/>
    <s v="Ипотека"/>
    <s v="Квартира"/>
    <s v="Белебеевский"/>
    <x v="6"/>
    <s v="Волгоградская"/>
    <n v="3"/>
    <n v="1"/>
    <n v="2017"/>
  </r>
  <r>
    <x v="24"/>
    <x v="43"/>
    <s v="Договор купли-продажи"/>
    <d v="2016-12-01T00:00:00"/>
    <d v="2016-12-01T00:00:00"/>
    <n v="421000"/>
    <n v="11534.25"/>
    <n v="1"/>
    <s v="Ипотека"/>
    <s v="Квартира"/>
    <s v="Белебеевский"/>
    <x v="6"/>
    <s v="Революционеров"/>
    <n v="2"/>
    <n v="2"/>
    <n v="2015"/>
  </r>
  <r>
    <x v="24"/>
    <x v="43"/>
    <s v="Договор купли-продажи"/>
    <d v="2016-12-01T00:00:00"/>
    <d v="2016-12-01T00:00:00"/>
    <n v="421000"/>
    <n v="11534.25"/>
    <n v="1"/>
    <s v="Ипотека"/>
    <s v="Квартира"/>
    <s v="Белебеевский"/>
    <x v="6"/>
    <s v="Революционеров"/>
    <n v="2"/>
    <n v="2"/>
    <n v="2015"/>
  </r>
  <r>
    <x v="24"/>
    <x v="43"/>
    <s v="Договор купли-продажи"/>
    <d v="2016-12-01T00:00:00"/>
    <d v="2016-12-01T00:00:00"/>
    <n v="433026"/>
    <n v="11863.73"/>
    <n v="1"/>
    <s v="Ипотека"/>
    <s v="Квартира"/>
    <s v="Белебеевский"/>
    <x v="6"/>
    <s v="Революционеров"/>
    <n v="2"/>
    <n v="2"/>
    <n v="2015"/>
  </r>
  <r>
    <x v="24"/>
    <x v="43"/>
    <s v="Договор купли-продажи"/>
    <d v="2016-12-01T00:00:00"/>
    <d v="2016-12-01T00:00:00"/>
    <n v="433026"/>
    <n v="11863.73"/>
    <n v="1"/>
    <s v="Ипотека"/>
    <s v="Квартира"/>
    <s v="Белебеевский"/>
    <x v="6"/>
    <s v="Революционеров"/>
    <n v="2"/>
    <n v="2"/>
    <n v="2015"/>
  </r>
  <r>
    <x v="25"/>
    <x v="44"/>
    <s v="Договор купли-продажи"/>
    <d v="2016-11-01T00:00:00"/>
    <d v="2016-11-01T00:00:00"/>
    <n v="550000"/>
    <n v="12035.01"/>
    <n v="1"/>
    <s v="Ипотека"/>
    <s v="Квартира"/>
    <s v="Белебеевский"/>
    <x v="6"/>
    <s v="Интернациональная"/>
    <n v="2"/>
    <n v="1"/>
    <n v="2016"/>
  </r>
  <r>
    <x v="26"/>
    <x v="45"/>
    <s v="Договор купли-продажи"/>
    <d v="2016-10-01T00:00:00"/>
    <d v="2016-11-01T00:00:00"/>
    <n v="530000"/>
    <n v="12470.59"/>
    <n v="1"/>
    <s v="Ипотека"/>
    <s v="Квартира"/>
    <s v="Белебеевский"/>
    <x v="6"/>
    <m/>
    <n v="2"/>
    <n v="1"/>
    <n v="2016"/>
  </r>
  <r>
    <x v="27"/>
    <x v="46"/>
    <s v="Договор купли-продажи"/>
    <d v="2016-12-01T00:00:00"/>
    <d v="2016-12-01T00:00:00"/>
    <n v="453026"/>
    <n v="13811.77"/>
    <n v="1"/>
    <s v="Ипотека"/>
    <s v="Квартира"/>
    <s v="Белебеевский"/>
    <x v="6"/>
    <m/>
    <n v="2"/>
    <n v="1"/>
    <n v="2004"/>
  </r>
  <r>
    <x v="28"/>
    <x v="47"/>
    <s v="Договор купли-продажи"/>
    <d v="2016-12-01T00:00:00"/>
    <d v="2016-12-01T00:00:00"/>
    <n v="780000"/>
    <n v="13928.57"/>
    <n v="1"/>
    <s v="Ипотека"/>
    <s v="Квартира"/>
    <s v="Белебеевский"/>
    <x v="6"/>
    <s v="Волгоградская"/>
    <n v="4"/>
    <n v="1"/>
    <n v="2013"/>
  </r>
  <r>
    <x v="28"/>
    <x v="48"/>
    <s v="Договор купли-продажи"/>
    <d v="2016-11-01T00:00:00"/>
    <d v="2016-11-01T00:00:00"/>
    <n v="500000"/>
    <n v="13966.48"/>
    <n v="1"/>
    <s v="Ипотека"/>
    <s v="Квартира"/>
    <s v="Белебеевский"/>
    <x v="6"/>
    <m/>
    <n v="4"/>
    <n v="1"/>
    <n v="2008"/>
  </r>
  <r>
    <x v="29"/>
    <x v="49"/>
    <s v="Договор купли-продажи"/>
    <d v="2016-11-01T00:00:00"/>
    <d v="2016-11-01T00:00:00"/>
    <n v="640000"/>
    <n v="14678.9"/>
    <n v="1"/>
    <s v="Ипотека"/>
    <s v="Квартира"/>
    <s v="Белебеевский"/>
    <x v="6"/>
    <s v="Свободы"/>
    <n v="1"/>
    <n v="1"/>
    <n v="2013"/>
  </r>
  <r>
    <x v="20"/>
    <x v="50"/>
    <s v="Договор купли-продажи"/>
    <d v="2016-11-01T00:00:00"/>
    <d v="2016-12-01T00:00:00"/>
    <n v="650000"/>
    <n v="15439.43"/>
    <n v="1"/>
    <s v="Ипотека"/>
    <s v="Квартира"/>
    <s v="Белебеевский"/>
    <x v="6"/>
    <s v="Тукаева"/>
    <n v="2"/>
    <n v="1"/>
    <n v="2007"/>
  </r>
  <r>
    <x v="30"/>
    <x v="51"/>
    <s v="Договор купли-продажи"/>
    <d v="2016-12-01T00:00:00"/>
    <d v="2016-12-01T00:00:00"/>
    <n v="1146974"/>
    <n v="16246.09"/>
    <n v="1"/>
    <s v="Ипотека"/>
    <s v="Квартира"/>
    <s v="Белебеевский"/>
    <x v="6"/>
    <s v="Волгоградская"/>
    <n v="3"/>
    <n v="1"/>
    <n v="2015"/>
  </r>
  <r>
    <x v="27"/>
    <x v="28"/>
    <s v="Договор купли-продажи"/>
    <d v="2016-12-01T00:00:00"/>
    <d v="2016-12-01T00:00:00"/>
    <n v="800000"/>
    <n v="16393.439999999999"/>
    <n v="1"/>
    <s v="Ипотека"/>
    <s v="Квартира"/>
    <s v="Белебеевский"/>
    <x v="6"/>
    <m/>
    <n v="4"/>
    <n v="1"/>
    <n v="2007"/>
  </r>
  <r>
    <x v="30"/>
    <x v="52"/>
    <s v="Договор купли-продажи"/>
    <d v="2016-11-01T00:00:00"/>
    <d v="2016-11-01T00:00:00"/>
    <n v="800000"/>
    <n v="16736.400000000001"/>
    <n v="1"/>
    <s v="Ипотека"/>
    <s v="Квартира"/>
    <s v="Белебеевский"/>
    <x v="6"/>
    <s v="Революционеров"/>
    <n v="2"/>
    <n v="2"/>
    <n v="2013"/>
  </r>
  <r>
    <x v="30"/>
    <x v="52"/>
    <s v="Договор купли-продажи"/>
    <d v="2016-11-01T00:00:00"/>
    <d v="2016-11-01T00:00:00"/>
    <n v="800000"/>
    <n v="16736.400000000001"/>
    <n v="1"/>
    <s v="Ипотека"/>
    <s v="Квартира"/>
    <s v="Белебеевский"/>
    <x v="6"/>
    <s v="Революционеров"/>
    <n v="2"/>
    <n v="2"/>
    <n v="2013"/>
  </r>
  <r>
    <x v="31"/>
    <x v="53"/>
    <s v="Договор купли-продажи"/>
    <d v="2016-10-01T00:00:00"/>
    <d v="2016-10-01T00:00:00"/>
    <n v="1000000"/>
    <n v="17391.3"/>
    <n v="1"/>
    <s v="Ипотека"/>
    <s v="Квартира"/>
    <s v="Белебеевский"/>
    <x v="6"/>
    <s v="Пролетарская"/>
    <n v="3"/>
    <n v="1"/>
    <n v="2014"/>
  </r>
  <r>
    <x v="21"/>
    <x v="54"/>
    <s v="Договор купли-продажи"/>
    <d v="2016-12-01T00:00:00"/>
    <d v="2016-12-01T00:00:00"/>
    <n v="580000"/>
    <n v="17575.759999999998"/>
    <n v="1"/>
    <s v="Ипотека"/>
    <s v="Квартира"/>
    <s v="Белебеевский"/>
    <x v="6"/>
    <m/>
    <n v="5"/>
    <n v="2"/>
    <n v="2008"/>
  </r>
  <r>
    <x v="21"/>
    <x v="54"/>
    <s v="Договор купли-продажи"/>
    <d v="2016-12-01T00:00:00"/>
    <d v="2016-12-01T00:00:00"/>
    <n v="580000"/>
    <n v="17575.759999999998"/>
    <n v="1"/>
    <s v="Ипотека"/>
    <s v="Квартира"/>
    <s v="Белебеевский"/>
    <x v="6"/>
    <m/>
    <n v="5"/>
    <n v="2"/>
    <n v="2008"/>
  </r>
  <r>
    <x v="28"/>
    <x v="55"/>
    <s v="Договор купли-продажи"/>
    <d v="2017-02-01T00:00:00"/>
    <d v="2017-03-01T00:00:00"/>
    <n v="1200000"/>
    <n v="17857.14"/>
    <n v="1"/>
    <s v="Ипотека"/>
    <s v="Квартира"/>
    <s v="Белебеевский"/>
    <x v="6"/>
    <m/>
    <n v="5"/>
    <n v="1"/>
    <n v="2001"/>
  </r>
  <r>
    <x v="32"/>
    <x v="56"/>
    <s v="Договор купли-продажи"/>
    <d v="2017-01-01T00:00:00"/>
    <d v="2017-01-01T00:00:00"/>
    <n v="560000"/>
    <n v="19377.16"/>
    <n v="1"/>
    <s v="Ипотека"/>
    <s v="Квартира"/>
    <s v="Белебеевский"/>
    <x v="6"/>
    <s v="Красноармейская"/>
    <n v="1"/>
    <n v="1"/>
    <n v="2012"/>
  </r>
  <r>
    <x v="33"/>
    <x v="57"/>
    <s v="Договор купли-продажи"/>
    <d v="2016-11-01T00:00:00"/>
    <d v="2016-11-01T00:00:00"/>
    <n v="680000"/>
    <n v="20118.34"/>
    <n v="1"/>
    <s v="Ипотека"/>
    <s v="Квартира"/>
    <s v="Белебеевский"/>
    <x v="6"/>
    <s v="Лесная"/>
    <n v="4"/>
    <n v="1"/>
    <n v="2008"/>
  </r>
  <r>
    <x v="32"/>
    <x v="58"/>
    <s v="Договор купли-продажи"/>
    <d v="2016-10-01T00:00:00"/>
    <d v="2016-10-01T00:00:00"/>
    <n v="600000"/>
    <n v="20134.23"/>
    <n v="1"/>
    <s v="Ипотека"/>
    <s v="Квартира"/>
    <s v="Белебеевский"/>
    <x v="6"/>
    <s v="Максимовой"/>
    <n v="2"/>
    <n v="1"/>
    <n v="2007"/>
  </r>
  <r>
    <x v="28"/>
    <x v="59"/>
    <s v="Договор купли-продажи"/>
    <d v="2016-12-01T00:00:00"/>
    <d v="2016-12-01T00:00:00"/>
    <n v="1050000"/>
    <n v="20231.21"/>
    <n v="1"/>
    <s v="Ипотека"/>
    <s v="Квартира"/>
    <s v="Белебеевский"/>
    <x v="6"/>
    <m/>
    <n v="4"/>
    <n v="1"/>
    <n v="2009"/>
  </r>
  <r>
    <x v="27"/>
    <x v="60"/>
    <s v="Договор купли-продажи"/>
    <d v="2017-03-01T00:00:00"/>
    <d v="2017-03-01T00:00:00"/>
    <n v="900000"/>
    <n v="20501.14"/>
    <n v="1"/>
    <s v="Ипотека"/>
    <s v="Квартира"/>
    <s v="Белебеевский"/>
    <x v="6"/>
    <s v="Революционеров"/>
    <n v="3"/>
    <n v="2"/>
    <n v="2005"/>
  </r>
  <r>
    <x v="27"/>
    <x v="60"/>
    <s v="Договор купли-продажи"/>
    <d v="2017-03-01T00:00:00"/>
    <d v="2017-03-01T00:00:00"/>
    <n v="900000"/>
    <n v="20501.14"/>
    <n v="1"/>
    <s v="Ипотека"/>
    <s v="Квартира"/>
    <s v="Белебеевский"/>
    <x v="6"/>
    <s v="Революционеров"/>
    <n v="3"/>
    <n v="2"/>
    <n v="2005"/>
  </r>
  <r>
    <x v="30"/>
    <x v="34"/>
    <s v="Договор купли-продажи"/>
    <d v="2016-12-01T00:00:00"/>
    <d v="2016-12-01T00:00:00"/>
    <n v="720000"/>
    <n v="20689.66"/>
    <n v="1"/>
    <s v="Ипотека"/>
    <s v="Квартира"/>
    <s v="Белебеевский"/>
    <x v="6"/>
    <s v="Волгоградская"/>
    <n v="1"/>
    <n v="1"/>
    <n v="2000"/>
  </r>
  <r>
    <x v="34"/>
    <x v="21"/>
    <s v="Договор купли-продажи"/>
    <d v="2017-03-01T00:00:00"/>
    <d v="2017-03-01T00:00:00"/>
    <n v="850000"/>
    <n v="21091.81"/>
    <n v="1"/>
    <s v="Ипотека"/>
    <s v="Квартира"/>
    <s v="Белебеевский"/>
    <x v="6"/>
    <m/>
    <n v="5"/>
    <n v="1"/>
    <n v="2008"/>
  </r>
  <r>
    <x v="21"/>
    <x v="61"/>
    <s v="Договор купли-продажи"/>
    <d v="2016-12-01T00:00:00"/>
    <d v="2016-12-01T00:00:00"/>
    <n v="500000"/>
    <n v="21276.6"/>
    <n v="1"/>
    <s v="Ипотека"/>
    <s v="Квартира"/>
    <s v="Белебеевский"/>
    <x v="6"/>
    <m/>
    <n v="3"/>
    <n v="1"/>
    <n v="2000"/>
  </r>
  <r>
    <x v="21"/>
    <x v="62"/>
    <s v="Договор купли-продажи"/>
    <d v="2017-02-01T00:00:00"/>
    <d v="2017-02-01T00:00:00"/>
    <n v="700000"/>
    <n v="21276.6"/>
    <n v="1"/>
    <s v="Ипотека"/>
    <s v="Квартира"/>
    <s v="Белебеевский"/>
    <x v="6"/>
    <m/>
    <n v="3"/>
    <n v="1"/>
    <n v="2001"/>
  </r>
  <r>
    <x v="21"/>
    <x v="63"/>
    <s v="Договор купли-продажи"/>
    <d v="2017-03-01T00:00:00"/>
    <d v="2017-03-01T00:00:00"/>
    <n v="1080000"/>
    <n v="21471.17"/>
    <n v="1"/>
    <s v="Ипотека"/>
    <s v="Квартира"/>
    <s v="Белебеевский"/>
    <x v="6"/>
    <s v="Интернациональная"/>
    <n v="5"/>
    <n v="2"/>
    <n v="2007"/>
  </r>
  <r>
    <x v="21"/>
    <x v="63"/>
    <s v="Договор купли-продажи"/>
    <d v="2017-03-01T00:00:00"/>
    <d v="2017-03-01T00:00:00"/>
    <n v="1080000"/>
    <n v="21471.17"/>
    <n v="1"/>
    <s v="Ипотека"/>
    <s v="Квартира"/>
    <s v="Белебеевский"/>
    <x v="6"/>
    <s v="Интернациональная"/>
    <n v="5"/>
    <n v="2"/>
    <n v="2007"/>
  </r>
  <r>
    <x v="27"/>
    <x v="57"/>
    <s v="Договор купли-продажи"/>
    <d v="2017-03-01T00:00:00"/>
    <d v="2017-03-01T00:00:00"/>
    <n v="736000"/>
    <n v="21775.15"/>
    <n v="1"/>
    <s v="Ипотека"/>
    <s v="Квартира"/>
    <s v="Белебеевский"/>
    <x v="6"/>
    <m/>
    <n v="4"/>
    <n v="1"/>
    <n v="2007"/>
  </r>
  <r>
    <x v="35"/>
    <x v="64"/>
    <s v="Договор купли-продажи"/>
    <d v="2016-12-01T00:00:00"/>
    <d v="2016-12-01T00:00:00"/>
    <n v="453026"/>
    <n v="21780.1"/>
    <n v="1"/>
    <s v="Ипотека"/>
    <s v="Квартира"/>
    <s v="Белебеевский"/>
    <x v="6"/>
    <m/>
    <n v="3"/>
    <n v="1"/>
    <n v="2015"/>
  </r>
  <r>
    <x v="31"/>
    <x v="24"/>
    <s v="Договор купли-продажи"/>
    <d v="2016-09-01T00:00:00"/>
    <d v="2016-10-01T00:00:00"/>
    <n v="995250"/>
    <n v="21970.2"/>
    <n v="1"/>
    <s v="Ипотека"/>
    <s v="Квартира"/>
    <s v="Белебеевский"/>
    <x v="6"/>
    <s v="Пролетарская"/>
    <n v="1"/>
    <n v="1"/>
    <n v="2014"/>
  </r>
  <r>
    <x v="36"/>
    <x v="65"/>
    <s v="Договор купли-продажи"/>
    <d v="2017-01-01T00:00:00"/>
    <d v="2017-01-01T00:00:00"/>
    <n v="900000"/>
    <n v="22004.89"/>
    <n v="1"/>
    <s v="Ипотека"/>
    <s v="Квартира"/>
    <s v="Белебеевский"/>
    <x v="6"/>
    <s v="Красноармейская"/>
    <n v="2"/>
    <n v="1"/>
    <n v="2005"/>
  </r>
  <r>
    <x v="35"/>
    <x v="66"/>
    <s v="Договор купли-продажи"/>
    <d v="2017-01-01T00:00:00"/>
    <d v="2017-01-01T00:00:00"/>
    <n v="471960"/>
    <n v="22581.82"/>
    <n v="1"/>
    <s v="Ипотека"/>
    <s v="Квартира"/>
    <s v="Белебеевский"/>
    <x v="6"/>
    <m/>
    <n v="2"/>
    <n v="1"/>
    <n v="2015"/>
  </r>
  <r>
    <x v="28"/>
    <x v="67"/>
    <s v="Договор купли-продажи"/>
    <d v="2017-02-01T00:00:00"/>
    <d v="2017-03-01T00:00:00"/>
    <n v="1040000"/>
    <n v="23008.85"/>
    <n v="1"/>
    <s v="Ипотека"/>
    <s v="Квартира"/>
    <s v="Белебеевский"/>
    <x v="6"/>
    <m/>
    <n v="1"/>
    <n v="2"/>
    <n v="2001"/>
  </r>
  <r>
    <x v="28"/>
    <x v="67"/>
    <s v="Договор купли-продажи"/>
    <d v="2017-02-01T00:00:00"/>
    <d v="2017-03-01T00:00:00"/>
    <n v="1040000"/>
    <n v="23008.85"/>
    <n v="1"/>
    <s v="Ипотека"/>
    <s v="Квартира"/>
    <s v="Белебеевский"/>
    <x v="6"/>
    <m/>
    <n v="1"/>
    <n v="2"/>
    <n v="2001"/>
  </r>
  <r>
    <x v="23"/>
    <x v="68"/>
    <s v="Договор купли-продажи"/>
    <d v="2017-03-01T00:00:00"/>
    <d v="2017-03-01T00:00:00"/>
    <n v="824000"/>
    <n v="23146.07"/>
    <n v="1"/>
    <s v="Ипотека"/>
    <s v="Квартира"/>
    <s v="Белебеевский"/>
    <x v="6"/>
    <s v="Волгоградская"/>
    <n v="2"/>
    <n v="1"/>
    <n v="2008"/>
  </r>
  <r>
    <x v="21"/>
    <x v="69"/>
    <s v="Договор купли-продажи"/>
    <d v="2016-10-01T00:00:00"/>
    <d v="2016-10-01T00:00:00"/>
    <n v="1040000"/>
    <n v="23476.3"/>
    <n v="1"/>
    <s v="Ипотека"/>
    <s v="Квартира"/>
    <s v="Белебеевский"/>
    <x v="6"/>
    <m/>
    <n v="5"/>
    <n v="1"/>
    <n v="2001"/>
  </r>
  <r>
    <x v="21"/>
    <x v="70"/>
    <s v="Договор купли-продажи"/>
    <d v="2017-02-01T00:00:00"/>
    <d v="2017-02-01T00:00:00"/>
    <n v="1050000"/>
    <n v="23542.6"/>
    <n v="1"/>
    <s v="Ипотека"/>
    <s v="Квартира"/>
    <s v="Белебеевский"/>
    <x v="6"/>
    <m/>
    <n v="2"/>
    <n v="1"/>
    <n v="2001"/>
  </r>
  <r>
    <x v="37"/>
    <x v="71"/>
    <s v="Договор купли-продажи"/>
    <d v="2016-10-01T00:00:00"/>
    <d v="2016-10-01T00:00:00"/>
    <n v="700000"/>
    <n v="23569.02"/>
    <n v="1"/>
    <s v="Ипотека"/>
    <s v="Квартира"/>
    <s v="Белебеевский"/>
    <x v="6"/>
    <s v="им В.И.Ленина"/>
    <n v="3"/>
    <n v="1"/>
    <n v="2002"/>
  </r>
  <r>
    <x v="22"/>
    <x v="49"/>
    <s v="Договор купли-продажи"/>
    <d v="2016-11-01T00:00:00"/>
    <d v="2016-11-01T00:00:00"/>
    <n v="1040000"/>
    <n v="23853.21"/>
    <n v="1"/>
    <s v="Ипотека"/>
    <s v="Квартира"/>
    <s v="Белебеевский"/>
    <x v="6"/>
    <s v="Интернациональная"/>
    <n v="2"/>
    <n v="1"/>
    <n v="2010"/>
  </r>
  <r>
    <x v="38"/>
    <x v="72"/>
    <s v="Договор купли-продажи"/>
    <d v="2017-03-01T00:00:00"/>
    <d v="2017-03-01T00:00:00"/>
    <n v="1100000"/>
    <n v="23913.040000000001"/>
    <n v="1"/>
    <s v="Ипотека"/>
    <s v="Квартира"/>
    <s v="Белебеевский"/>
    <x v="6"/>
    <s v="Пионерская"/>
    <n v="1"/>
    <n v="1"/>
    <n v="2003"/>
  </r>
  <r>
    <x v="23"/>
    <x v="73"/>
    <s v="Договор купли-продажи"/>
    <d v="2017-02-01T00:00:00"/>
    <d v="2017-02-01T00:00:00"/>
    <n v="680000"/>
    <n v="24113.48"/>
    <n v="1"/>
    <s v="Ипотека"/>
    <s v="Квартира"/>
    <s v="Белебеевский"/>
    <x v="6"/>
    <m/>
    <n v="4"/>
    <n v="1"/>
    <n v="2004"/>
  </r>
  <r>
    <x v="37"/>
    <x v="74"/>
    <s v="Договор купли-продажи"/>
    <d v="2017-01-01T00:00:00"/>
    <d v="2017-01-01T00:00:00"/>
    <n v="1448000"/>
    <n v="24377.1"/>
    <n v="1"/>
    <s v="Ипотека"/>
    <s v="Квартира"/>
    <s v="Белебеевский"/>
    <x v="6"/>
    <s v="им В.И.Ленина"/>
    <n v="5"/>
    <n v="1"/>
    <n v="1999"/>
  </r>
  <r>
    <x v="23"/>
    <x v="75"/>
    <s v="Договор купли-продажи"/>
    <d v="2017-01-01T00:00:00"/>
    <d v="2017-01-01T00:00:00"/>
    <n v="1200000"/>
    <n v="24390.240000000002"/>
    <n v="1"/>
    <s v="Ипотека"/>
    <s v="Квартира"/>
    <s v="Белебеевский"/>
    <x v="6"/>
    <s v="Волгоградская"/>
    <n v="1"/>
    <n v="1"/>
    <n v="1999"/>
  </r>
  <r>
    <x v="20"/>
    <x v="76"/>
    <s v="Договор купли-продажи"/>
    <d v="2017-03-01T00:00:00"/>
    <d v="2017-03-01T00:00:00"/>
    <n v="1040000"/>
    <n v="24528.3"/>
    <n v="1"/>
    <s v="Ипотека"/>
    <s v="Квартира"/>
    <s v="Белебеевский"/>
    <x v="6"/>
    <s v="им В.И.Ленина"/>
    <n v="3"/>
    <n v="1"/>
    <n v="2008"/>
  </r>
  <r>
    <x v="23"/>
    <x v="77"/>
    <s v="Договор купли-продажи"/>
    <d v="2017-01-01T00:00:00"/>
    <d v="2017-01-01T00:00:00"/>
    <n v="1080000"/>
    <n v="25058"/>
    <n v="1"/>
    <s v="Ипотека"/>
    <s v="Квартира"/>
    <s v="Белебеевский"/>
    <x v="6"/>
    <s v="Волгоградская"/>
    <n v="1"/>
    <n v="1"/>
    <n v="2011"/>
  </r>
  <r>
    <x v="21"/>
    <x v="78"/>
    <s v="Договор купли-продажи"/>
    <d v="2016-11-01T00:00:00"/>
    <d v="2016-11-01T00:00:00"/>
    <n v="1064000"/>
    <n v="25393.79"/>
    <n v="1"/>
    <s v="Ипотека"/>
    <s v="Квартира"/>
    <s v="Белебеевский"/>
    <x v="6"/>
    <m/>
    <n v="4"/>
    <n v="1"/>
    <n v="2005"/>
  </r>
  <r>
    <x v="30"/>
    <x v="79"/>
    <s v="Договор купли-продажи"/>
    <d v="2017-03-01T00:00:00"/>
    <d v="2017-03-01T00:00:00"/>
    <n v="920000"/>
    <n v="25484.76"/>
    <n v="1"/>
    <s v="Ипотека"/>
    <s v="Квартира"/>
    <s v="Белебеевский"/>
    <x v="6"/>
    <m/>
    <n v="3"/>
    <n v="1"/>
    <n v="2004"/>
  </r>
  <r>
    <x v="30"/>
    <x v="80"/>
    <s v="Договор купли-продажи"/>
    <d v="2017-02-01T00:00:00"/>
    <d v="2017-02-01T00:00:00"/>
    <n v="1950000"/>
    <n v="25691.7"/>
    <n v="1"/>
    <s v="Ипотека"/>
    <s v="Квартира"/>
    <s v="Белебеевский"/>
    <x v="6"/>
    <s v="Революционеров"/>
    <n v="2"/>
    <n v="1"/>
    <n v="2002"/>
  </r>
  <r>
    <x v="28"/>
    <x v="81"/>
    <s v="Договор купли-продажи"/>
    <d v="2017-02-01T00:00:00"/>
    <d v="2017-02-01T00:00:00"/>
    <n v="960000"/>
    <n v="25806.45"/>
    <n v="1"/>
    <s v="Ипотека"/>
    <s v="Квартира"/>
    <s v="Белебеевский"/>
    <x v="6"/>
    <s v="Волгоградская"/>
    <n v="3"/>
    <n v="2"/>
    <n v="2007"/>
  </r>
  <r>
    <x v="28"/>
    <x v="81"/>
    <s v="Договор купли-продажи"/>
    <d v="2017-02-01T00:00:00"/>
    <d v="2017-02-01T00:00:00"/>
    <n v="960000"/>
    <n v="25806.45"/>
    <n v="1"/>
    <s v="Ипотека"/>
    <s v="Квартира"/>
    <s v="Белебеевский"/>
    <x v="6"/>
    <s v="Волгоградская"/>
    <n v="3"/>
    <n v="2"/>
    <n v="2007"/>
  </r>
  <r>
    <x v="28"/>
    <x v="82"/>
    <s v="Договор купли-продажи"/>
    <d v="2016-10-01T00:00:00"/>
    <d v="2016-11-01T00:00:00"/>
    <n v="1520000"/>
    <n v="25938.57"/>
    <n v="1"/>
    <s v="Ипотека"/>
    <s v="Квартира"/>
    <s v="Белебеевский"/>
    <x v="6"/>
    <m/>
    <n v="1"/>
    <n v="1"/>
    <n v="1999"/>
  </r>
  <r>
    <x v="39"/>
    <x v="83"/>
    <s v="Договор купли-продажи"/>
    <d v="2016-10-01T00:00:00"/>
    <d v="2016-10-01T00:00:00"/>
    <n v="1000000"/>
    <n v="26041.67"/>
    <n v="1"/>
    <s v="Ипотека"/>
    <s v="Квартира"/>
    <s v="Белебеевский"/>
    <x v="6"/>
    <m/>
    <n v="4"/>
    <n v="1"/>
    <n v="2000"/>
  </r>
  <r>
    <x v="27"/>
    <x v="52"/>
    <s v="Договор купли-продажи"/>
    <d v="2017-01-01T00:00:00"/>
    <d v="2017-01-01T00:00:00"/>
    <n v="1250000"/>
    <n v="26150.63"/>
    <n v="1"/>
    <s v="Ипотека"/>
    <s v="Квартира"/>
    <s v="Белебеевский"/>
    <x v="6"/>
    <m/>
    <n v="4"/>
    <n v="1"/>
    <n v="2011"/>
  </r>
  <r>
    <x v="39"/>
    <x v="84"/>
    <s v="Договор купли-продажи"/>
    <d v="2016-10-01T00:00:00"/>
    <d v="2016-11-01T00:00:00"/>
    <n v="1080000"/>
    <n v="26213.59"/>
    <n v="1"/>
    <s v="Ипотека"/>
    <s v="Квартира"/>
    <s v="Белебеевский"/>
    <x v="6"/>
    <m/>
    <n v="3"/>
    <n v="1"/>
    <n v="2013"/>
  </r>
  <r>
    <x v="21"/>
    <x v="85"/>
    <s v="Договор купли-продажи"/>
    <d v="2016-10-01T00:00:00"/>
    <d v="2016-10-01T00:00:00"/>
    <n v="1636512"/>
    <n v="26696.77"/>
    <n v="1"/>
    <s v="Ипотека"/>
    <s v="Помещение"/>
    <s v="Белебеевский"/>
    <x v="6"/>
    <m/>
    <n v="1"/>
    <n v="1"/>
    <n v="2014"/>
  </r>
  <r>
    <x v="37"/>
    <x v="86"/>
    <s v="Договор купли-продажи"/>
    <d v="2016-12-01T00:00:00"/>
    <d v="2016-12-01T00:00:00"/>
    <n v="1150000"/>
    <n v="26806.53"/>
    <n v="1"/>
    <s v="Ипотека"/>
    <s v="Квартира"/>
    <s v="Белебеевский"/>
    <x v="6"/>
    <s v="Интернациональная"/>
    <n v="4"/>
    <n v="1"/>
    <n v="2010"/>
  </r>
  <r>
    <x v="33"/>
    <x v="87"/>
    <s v="Договор купли-продажи"/>
    <d v="2017-01-01T00:00:00"/>
    <d v="2017-01-01T00:00:00"/>
    <n v="1360000"/>
    <n v="27364.19"/>
    <n v="1"/>
    <s v="Ипотека"/>
    <s v="Квартира"/>
    <s v="Белебеевский"/>
    <x v="6"/>
    <s v="Пионерская"/>
    <n v="5"/>
    <n v="1"/>
    <n v="2007"/>
  </r>
  <r>
    <x v="21"/>
    <x v="24"/>
    <s v="Договор купли-продажи"/>
    <d v="2016-10-01T00:00:00"/>
    <d v="2016-10-01T00:00:00"/>
    <n v="1248000"/>
    <n v="27549.67"/>
    <n v="1"/>
    <s v="Ипотека"/>
    <s v="Квартира"/>
    <s v="Белебеевский"/>
    <x v="6"/>
    <m/>
    <n v="3"/>
    <n v="1"/>
    <n v="2012"/>
  </r>
  <r>
    <x v="33"/>
    <x v="88"/>
    <s v="Договор купли-продажи"/>
    <d v="2016-12-01T00:00:00"/>
    <d v="2016-12-01T00:00:00"/>
    <n v="930000"/>
    <n v="27678.57"/>
    <n v="1"/>
    <s v="Ипотека"/>
    <s v="Квартира"/>
    <s v="Белебеевский"/>
    <x v="6"/>
    <s v="Лесная"/>
    <n v="1"/>
    <n v="1"/>
    <n v="2001"/>
  </r>
  <r>
    <x v="28"/>
    <x v="89"/>
    <s v="Договор купли-продажи"/>
    <d v="2016-12-01T00:00:00"/>
    <d v="2016-12-01T00:00:00"/>
    <n v="1884000"/>
    <n v="28203.59"/>
    <n v="1"/>
    <s v="Ипотека"/>
    <s v="Квартира"/>
    <s v="Белебеевский"/>
    <x v="6"/>
    <m/>
    <n v="1"/>
    <n v="2"/>
    <n v="2009"/>
  </r>
  <r>
    <x v="28"/>
    <x v="89"/>
    <s v="Договор купли-продажи"/>
    <d v="2016-12-01T00:00:00"/>
    <d v="2016-12-01T00:00:00"/>
    <n v="1884000"/>
    <n v="28203.59"/>
    <n v="1"/>
    <s v="Ипотека"/>
    <s v="Квартира"/>
    <s v="Белебеевский"/>
    <x v="6"/>
    <m/>
    <n v="1"/>
    <n v="2"/>
    <n v="2009"/>
  </r>
  <r>
    <x v="23"/>
    <x v="90"/>
    <s v="Договор купли-продажи"/>
    <d v="2016-12-01T00:00:00"/>
    <d v="2016-12-01T00:00:00"/>
    <n v="920000"/>
    <n v="28220.86"/>
    <n v="1"/>
    <s v="Ипотека"/>
    <s v="Квартира"/>
    <s v="Белебеевский"/>
    <x v="6"/>
    <m/>
    <n v="4"/>
    <n v="2"/>
    <n v="2016"/>
  </r>
  <r>
    <x v="23"/>
    <x v="90"/>
    <s v="Договор купли-продажи"/>
    <d v="2016-12-01T00:00:00"/>
    <d v="2016-12-01T00:00:00"/>
    <n v="920000"/>
    <n v="28220.86"/>
    <n v="1"/>
    <s v="Ипотека"/>
    <s v="Квартира"/>
    <s v="Белебеевский"/>
    <x v="6"/>
    <m/>
    <n v="4"/>
    <n v="2"/>
    <n v="2016"/>
  </r>
  <r>
    <x v="23"/>
    <x v="11"/>
    <s v="Договор купли-продажи"/>
    <d v="2017-03-01T00:00:00"/>
    <d v="2017-03-01T00:00:00"/>
    <n v="1769000"/>
    <n v="28624.6"/>
    <n v="1"/>
    <s v="Ипотека"/>
    <s v="Квартира"/>
    <s v="Белебеевский"/>
    <x v="6"/>
    <m/>
    <n v="4"/>
    <n v="2"/>
    <n v="2017"/>
  </r>
  <r>
    <x v="23"/>
    <x v="11"/>
    <s v="Договор купли-продажи"/>
    <d v="2017-03-01T00:00:00"/>
    <d v="2017-03-01T00:00:00"/>
    <n v="1769000"/>
    <n v="28624.6"/>
    <n v="1"/>
    <s v="Ипотека"/>
    <s v="Квартира"/>
    <s v="Белебеевский"/>
    <x v="6"/>
    <m/>
    <n v="4"/>
    <n v="2"/>
    <n v="2017"/>
  </r>
  <r>
    <x v="34"/>
    <x v="91"/>
    <s v="Договор купли-продажи"/>
    <d v="2016-12-01T00:00:00"/>
    <d v="2016-12-01T00:00:00"/>
    <n v="1146000"/>
    <n v="28721.8"/>
    <n v="1"/>
    <s v="Ипотека"/>
    <s v="Квартира"/>
    <s v="Белебеевский"/>
    <x v="6"/>
    <m/>
    <n v="2"/>
    <n v="1"/>
    <n v="2016"/>
  </r>
  <r>
    <x v="28"/>
    <x v="92"/>
    <s v="Договор купли-продажи"/>
    <d v="2016-11-01T00:00:00"/>
    <d v="2016-12-01T00:00:00"/>
    <n v="944000"/>
    <n v="28868.5"/>
    <n v="1"/>
    <s v="Ипотека"/>
    <s v="Квартира"/>
    <s v="Белебеевский"/>
    <x v="6"/>
    <m/>
    <n v="3"/>
    <n v="1"/>
    <n v="2001"/>
  </r>
  <r>
    <x v="35"/>
    <x v="93"/>
    <s v="Договор купли-продажи"/>
    <d v="2016-11-01T00:00:00"/>
    <d v="2016-11-01T00:00:00"/>
    <n v="799592"/>
    <n v="29505.24"/>
    <n v="1"/>
    <s v="Ипотека"/>
    <s v="Квартира"/>
    <s v="Белебеевский"/>
    <x v="6"/>
    <m/>
    <n v="2"/>
    <n v="1"/>
    <n v="2015"/>
  </r>
  <r>
    <x v="23"/>
    <x v="94"/>
    <s v="Договор купли-продажи"/>
    <d v="2017-03-01T00:00:00"/>
    <d v="2017-03-01T00:00:00"/>
    <n v="1790000"/>
    <n v="30033.56"/>
    <n v="1"/>
    <s v="Ипотека"/>
    <s v="Квартира"/>
    <s v="Белебеевский"/>
    <x v="6"/>
    <m/>
    <n v="5"/>
    <n v="2"/>
    <n v="2001"/>
  </r>
  <r>
    <x v="23"/>
    <x v="94"/>
    <s v="Договор купли-продажи"/>
    <d v="2017-03-01T00:00:00"/>
    <d v="2017-03-01T00:00:00"/>
    <n v="1790000"/>
    <n v="30033.56"/>
    <n v="1"/>
    <s v="Ипотека"/>
    <s v="Квартира"/>
    <s v="Белебеевский"/>
    <x v="6"/>
    <m/>
    <n v="5"/>
    <n v="2"/>
    <n v="2001"/>
  </r>
  <r>
    <x v="34"/>
    <x v="95"/>
    <s v="Договор купли-продажи"/>
    <d v="2016-12-01T00:00:00"/>
    <d v="2016-12-01T00:00:00"/>
    <n v="1181500"/>
    <n v="30294.87"/>
    <n v="1"/>
    <s v="Ипотека"/>
    <s v="Квартира"/>
    <s v="Белебеевский"/>
    <x v="6"/>
    <m/>
    <n v="4"/>
    <n v="1"/>
    <n v="2016"/>
  </r>
  <r>
    <x v="28"/>
    <x v="96"/>
    <s v="Договор купли-продажи"/>
    <d v="2017-02-01T00:00:00"/>
    <d v="2017-02-01T00:00:00"/>
    <n v="1740000"/>
    <n v="31294.959999999999"/>
    <n v="1"/>
    <s v="Ипотека"/>
    <s v="Квартира"/>
    <s v="Белебеевский"/>
    <x v="6"/>
    <s v="Волгоградская"/>
    <n v="1"/>
    <n v="1"/>
    <n v="2015"/>
  </r>
  <r>
    <x v="28"/>
    <x v="79"/>
    <s v="Договор купли-продажи"/>
    <d v="2016-12-01T00:00:00"/>
    <d v="2016-12-01T00:00:00"/>
    <n v="1200000"/>
    <n v="33241"/>
    <n v="1"/>
    <s v="Ипотека"/>
    <s v="Квартира"/>
    <s v="Белебеевский"/>
    <x v="6"/>
    <m/>
    <n v="1"/>
    <n v="2"/>
    <n v="2008"/>
  </r>
  <r>
    <x v="28"/>
    <x v="79"/>
    <s v="Договор купли-продажи"/>
    <d v="2016-12-01T00:00:00"/>
    <d v="2016-12-01T00:00:00"/>
    <n v="1200000"/>
    <n v="33241"/>
    <n v="1"/>
    <s v="Ипотека"/>
    <s v="Квартира"/>
    <s v="Белебеевский"/>
    <x v="6"/>
    <m/>
    <n v="1"/>
    <n v="2"/>
    <n v="2008"/>
  </r>
  <r>
    <x v="40"/>
    <x v="97"/>
    <s v="Договор купли-продажи"/>
    <d v="2017-02-01T00:00:00"/>
    <d v="2017-03-01T00:00:00"/>
    <n v="1800000"/>
    <n v="34155.599999999999"/>
    <n v="1"/>
    <s v="Ипотека"/>
    <s v="Квартира"/>
    <s v="Белебеевский"/>
    <x v="6"/>
    <s v="им В.И.Ленина"/>
    <n v="4"/>
    <n v="1"/>
    <n v="2010"/>
  </r>
  <r>
    <x v="27"/>
    <x v="98"/>
    <s v="Договор купли-продажи"/>
    <d v="2017-01-01T00:00:00"/>
    <d v="2017-01-01T00:00:00"/>
    <n v="1950000"/>
    <n v="34946.239999999998"/>
    <n v="1"/>
    <s v="Ипотека"/>
    <s v="Квартира"/>
    <s v="Белебеевский"/>
    <x v="6"/>
    <m/>
    <n v="4"/>
    <n v="2"/>
    <n v="2006"/>
  </r>
  <r>
    <x v="27"/>
    <x v="98"/>
    <s v="Договор купли-продажи"/>
    <d v="2017-01-01T00:00:00"/>
    <d v="2017-01-01T00:00:00"/>
    <n v="1950000"/>
    <n v="34946.239999999998"/>
    <n v="1"/>
    <s v="Ипотека"/>
    <s v="Квартира"/>
    <s v="Белебеевский"/>
    <x v="6"/>
    <m/>
    <n v="4"/>
    <n v="2"/>
    <n v="2006"/>
  </r>
  <r>
    <x v="20"/>
    <x v="99"/>
    <s v="Договор купли-продажи"/>
    <d v="2016-12-01T00:00:00"/>
    <d v="2016-12-01T00:00:00"/>
    <n v="2794000"/>
    <n v="36005.15"/>
    <n v="1"/>
    <s v="Ипотека"/>
    <s v="Помещение"/>
    <s v="Белебеевский"/>
    <x v="6"/>
    <s v="им В.И.Ленина"/>
    <n v="1"/>
    <n v="1"/>
    <n v="2001"/>
  </r>
  <r>
    <x v="41"/>
    <x v="100"/>
    <s v="Договор купли-продажи"/>
    <d v="2016-11-01T00:00:00"/>
    <d v="2016-11-01T00:00:00"/>
    <n v="1200000"/>
    <n v="19169.330000000002"/>
    <n v="1"/>
    <s v="Ипотека"/>
    <s v="Квартира"/>
    <s v="Буздякский"/>
    <x v="7"/>
    <s v="Спортивная"/>
    <n v="1"/>
    <n v="1"/>
    <n v="2008"/>
  </r>
  <r>
    <x v="42"/>
    <x v="101"/>
    <s v="Договор купли-продажи"/>
    <d v="2016-10-01T00:00:00"/>
    <d v="2016-11-01T00:00:00"/>
    <n v="1146974"/>
    <n v="19212.29"/>
    <n v="1"/>
    <s v="Ипотека"/>
    <s v="Квартира"/>
    <s v="Буздякский"/>
    <x v="7"/>
    <s v="Дзержинского"/>
    <n v="1"/>
    <n v="1"/>
    <n v="2010"/>
  </r>
  <r>
    <x v="43"/>
    <x v="102"/>
    <s v="Договор купли-продажи"/>
    <d v="2016-12-01T00:00:00"/>
    <d v="2016-12-01T00:00:00"/>
    <n v="1700000"/>
    <n v="20047.169999999998"/>
    <n v="1"/>
    <s v="Ипотека"/>
    <s v="Квартира"/>
    <s v="Буздякский"/>
    <x v="7"/>
    <s v="Красная Площадь"/>
    <n v="1"/>
    <n v="1"/>
    <n v="2010"/>
  </r>
  <r>
    <x v="44"/>
    <x v="71"/>
    <s v="Договор купли-продажи"/>
    <d v="2016-10-01T00:00:00"/>
    <d v="2017-02-01T00:00:00"/>
    <n v="660250"/>
    <n v="22230.639999999999"/>
    <n v="1"/>
    <s v="Ипотека"/>
    <s v="Помещение"/>
    <s v="Буздякский"/>
    <x v="7"/>
    <s v="Уртакульская"/>
    <n v="1"/>
    <n v="1"/>
    <n v="2016"/>
  </r>
  <r>
    <x v="44"/>
    <x v="103"/>
    <s v="Договор купли-продажи"/>
    <d v="2017-01-01T00:00:00"/>
    <d v="2017-02-01T00:00:00"/>
    <n v="1342000"/>
    <n v="22979.45"/>
    <n v="1"/>
    <s v="Ипотека"/>
    <s v="Помещение"/>
    <s v="Буздякский"/>
    <x v="7"/>
    <s v="Уртакульская"/>
    <n v="1"/>
    <n v="1"/>
    <n v="2016"/>
  </r>
  <r>
    <x v="44"/>
    <x v="104"/>
    <s v="Договор купли-продажи"/>
    <d v="2016-10-01T00:00:00"/>
    <d v="2016-10-01T00:00:00"/>
    <n v="730400"/>
    <n v="23041.01"/>
    <n v="1"/>
    <s v="Ипотека"/>
    <s v="Помещение"/>
    <s v="Буздякский"/>
    <x v="7"/>
    <s v="Уртакульская"/>
    <n v="3"/>
    <n v="1"/>
    <n v="2016"/>
  </r>
  <r>
    <x v="44"/>
    <x v="54"/>
    <s v="Договор купли-продажи"/>
    <d v="2016-12-01T00:00:00"/>
    <d v="2016-12-01T00:00:00"/>
    <n v="761200"/>
    <n v="23066.67"/>
    <n v="1"/>
    <s v="Ипотека"/>
    <s v="Помещение"/>
    <s v="Буздякский"/>
    <x v="7"/>
    <s v="Уртакульская"/>
    <n v="3"/>
    <n v="2"/>
    <n v="2016"/>
  </r>
  <r>
    <x v="44"/>
    <x v="54"/>
    <s v="Договор купли-продажи"/>
    <d v="2016-12-01T00:00:00"/>
    <d v="2016-12-01T00:00:00"/>
    <n v="761200"/>
    <n v="23066.67"/>
    <n v="1"/>
    <s v="Ипотека"/>
    <s v="Помещение"/>
    <s v="Буздякский"/>
    <x v="7"/>
    <s v="Уртакульская"/>
    <n v="3"/>
    <n v="2"/>
    <n v="2016"/>
  </r>
  <r>
    <x v="44"/>
    <x v="53"/>
    <s v="Договор купли-продажи"/>
    <d v="2016-11-01T00:00:00"/>
    <d v="2016-12-01T00:00:00"/>
    <n v="1658250"/>
    <n v="28839.13"/>
    <n v="1"/>
    <s v="Ипотека"/>
    <s v="Помещение"/>
    <s v="Буздякский"/>
    <x v="7"/>
    <s v="Уртакульская"/>
    <n v="3"/>
    <n v="1"/>
    <n v="2016"/>
  </r>
  <r>
    <x v="45"/>
    <x v="105"/>
    <s v="Договор купли-продажи"/>
    <d v="2016-09-01T00:00:00"/>
    <d v="2016-10-01T00:00:00"/>
    <n v="434000"/>
    <n v="29726.03"/>
    <n v="1"/>
    <s v="Ипотека"/>
    <s v="Квартира"/>
    <s v="Буздякский"/>
    <x v="7"/>
    <s v="Рабочая"/>
    <n v="1"/>
    <n v="1"/>
    <n v="2006"/>
  </r>
  <r>
    <x v="46"/>
    <x v="106"/>
    <s v="Договор купли-продажи"/>
    <d v="2016-10-01T00:00:00"/>
    <d v="2016-10-01T00:00:00"/>
    <n v="453026"/>
    <n v="12761.3"/>
    <n v="1"/>
    <s v="Ипотека"/>
    <s v="Квартира"/>
    <s v="Бураевский"/>
    <x v="8"/>
    <s v="Космонавтов"/>
    <n v="1"/>
    <n v="1"/>
    <n v="2007"/>
  </r>
  <r>
    <x v="47"/>
    <x v="107"/>
    <s v="Договор купли-продажи"/>
    <d v="2016-12-01T00:00:00"/>
    <d v="2016-12-01T00:00:00"/>
    <n v="1000000"/>
    <n v="19762.849999999999"/>
    <n v="1"/>
    <s v="Ипотека"/>
    <s v="Квартира"/>
    <s v="Бураевский"/>
    <x v="8"/>
    <s v="Косыгина"/>
    <n v="1"/>
    <n v="1"/>
    <n v="2007"/>
  </r>
  <r>
    <x v="48"/>
    <x v="108"/>
    <s v="Договор купли-продажи"/>
    <d v="2017-02-01T00:00:00"/>
    <d v="2017-02-01T00:00:00"/>
    <n v="453026"/>
    <n v="21369.15"/>
    <n v="1"/>
    <s v="Ипотека"/>
    <s v="Квартира"/>
    <s v="Бураевский"/>
    <x v="8"/>
    <s v="Ленина"/>
    <n v="1"/>
    <n v="1"/>
    <n v="2010"/>
  </r>
  <r>
    <x v="49"/>
    <x v="109"/>
    <s v="Договор купли-продажи"/>
    <d v="2016-12-01T00:00:00"/>
    <d v="2016-12-01T00:00:00"/>
    <n v="1440000"/>
    <n v="28402.37"/>
    <n v="1"/>
    <s v="Ипотека"/>
    <s v="Квартира"/>
    <s v="Бураевский"/>
    <x v="8"/>
    <s v="М.Гафури"/>
    <n v="1"/>
    <n v="2"/>
    <n v="2006"/>
  </r>
  <r>
    <x v="49"/>
    <x v="109"/>
    <s v="Договор купли-продажи"/>
    <d v="2016-12-01T00:00:00"/>
    <d v="2016-12-01T00:00:00"/>
    <n v="1440000"/>
    <n v="28402.37"/>
    <n v="1"/>
    <s v="Ипотека"/>
    <s v="Квартира"/>
    <s v="Бураевский"/>
    <x v="8"/>
    <s v="М.Гафури"/>
    <n v="1"/>
    <n v="2"/>
    <n v="2006"/>
  </r>
  <r>
    <x v="50"/>
    <x v="39"/>
    <s v="Договор купли-продажи"/>
    <d v="2016-12-01T00:00:00"/>
    <d v="2016-12-01T00:00:00"/>
    <n v="1287828"/>
    <n v="31032"/>
    <n v="1"/>
    <s v="Ипотека"/>
    <s v="Квартира"/>
    <s v="Бураевский"/>
    <x v="8"/>
    <s v="Строителей"/>
    <n v="2"/>
    <n v="1"/>
    <n v="2003"/>
  </r>
  <r>
    <x v="51"/>
    <x v="92"/>
    <s v="Договор купли-продажи"/>
    <d v="2016-12-01T00:00:00"/>
    <d v="2016-12-01T00:00:00"/>
    <n v="800000"/>
    <n v="24464.83"/>
    <n v="1"/>
    <s v="Ипотека"/>
    <s v="Квартира"/>
    <s v="Дюртюлинский"/>
    <x v="9"/>
    <s v="Василия Горшкова"/>
    <n v="3"/>
    <n v="1"/>
    <n v="2014"/>
  </r>
  <r>
    <x v="52"/>
    <x v="110"/>
    <s v="Договор купли-продажи"/>
    <d v="2016-12-01T00:00:00"/>
    <d v="2016-12-01T00:00:00"/>
    <n v="1320000"/>
    <n v="24626.87"/>
    <n v="1"/>
    <s v="Ипотека"/>
    <s v="Квартира"/>
    <s v="Дюртюлинский"/>
    <x v="9"/>
    <s v="Матросова"/>
    <n v="3"/>
    <n v="2"/>
    <n v="2009"/>
  </r>
  <r>
    <x v="52"/>
    <x v="110"/>
    <s v="Договор купли-продажи"/>
    <d v="2016-12-01T00:00:00"/>
    <d v="2016-12-01T00:00:00"/>
    <n v="1320000"/>
    <n v="24626.87"/>
    <n v="1"/>
    <s v="Ипотека"/>
    <s v="Квартира"/>
    <s v="Дюртюлинский"/>
    <x v="9"/>
    <s v="Матросова"/>
    <n v="3"/>
    <n v="2"/>
    <n v="2009"/>
  </r>
  <r>
    <x v="52"/>
    <x v="34"/>
    <s v="Договор купли-продажи"/>
    <d v="2017-03-01T00:00:00"/>
    <d v="2017-03-01T00:00:00"/>
    <n v="880000"/>
    <n v="25287.360000000001"/>
    <n v="1"/>
    <s v="Ипотека"/>
    <s v="Квартира"/>
    <s v="Дюртюлинский"/>
    <x v="9"/>
    <s v="Матросова"/>
    <n v="2"/>
    <n v="1"/>
    <n v="2000"/>
  </r>
  <r>
    <x v="53"/>
    <x v="111"/>
    <s v="Договор купли-продажи"/>
    <d v="2016-12-01T00:00:00"/>
    <d v="2016-12-01T00:00:00"/>
    <n v="1500000"/>
    <n v="25423.73"/>
    <n v="1"/>
    <s v="Ипотека"/>
    <s v="Квартира"/>
    <s v="Дюртюлинский"/>
    <x v="9"/>
    <s v="Зиннура Зарипова"/>
    <n v="4"/>
    <n v="2"/>
    <n v="2004"/>
  </r>
  <r>
    <x v="53"/>
    <x v="111"/>
    <s v="Договор купли-продажи"/>
    <d v="2016-12-01T00:00:00"/>
    <d v="2016-12-01T00:00:00"/>
    <n v="1500000"/>
    <n v="25423.73"/>
    <n v="1"/>
    <s v="Ипотека"/>
    <s v="Квартира"/>
    <s v="Дюртюлинский"/>
    <x v="9"/>
    <s v="Зиннура Зарипова"/>
    <n v="4"/>
    <n v="2"/>
    <n v="2004"/>
  </r>
  <r>
    <x v="51"/>
    <x v="26"/>
    <s v="Договор купли-продажи"/>
    <d v="2016-11-01T00:00:00"/>
    <d v="2016-11-01T00:00:00"/>
    <n v="805000"/>
    <n v="25474.68"/>
    <n v="1"/>
    <s v="Ипотека"/>
    <s v="Квартира"/>
    <s v="Дюртюлинский"/>
    <x v="9"/>
    <s v="Первомайская"/>
    <n v="4"/>
    <n v="1"/>
    <n v="2003"/>
  </r>
  <r>
    <x v="51"/>
    <x v="112"/>
    <s v="Договор купли-продажи"/>
    <d v="2016-12-01T00:00:00"/>
    <d v="2016-12-01T00:00:00"/>
    <n v="640000"/>
    <n v="25702.81"/>
    <n v="1"/>
    <s v="Ипотека"/>
    <s v="Квартира"/>
    <s v="Дюртюлинский"/>
    <x v="9"/>
    <s v="Ленина"/>
    <n v="6"/>
    <n v="2"/>
    <n v="2009"/>
  </r>
  <r>
    <x v="51"/>
    <x v="112"/>
    <s v="Договор купли-продажи"/>
    <d v="2016-12-01T00:00:00"/>
    <d v="2016-12-01T00:00:00"/>
    <n v="640000"/>
    <n v="25702.81"/>
    <n v="1"/>
    <s v="Ипотека"/>
    <s v="Квартира"/>
    <s v="Дюртюлинский"/>
    <x v="9"/>
    <s v="Ленина"/>
    <n v="6"/>
    <n v="2"/>
    <n v="2009"/>
  </r>
  <r>
    <x v="51"/>
    <x v="113"/>
    <s v="Договор купли-продажи"/>
    <d v="2017-02-01T00:00:00"/>
    <d v="2017-02-01T00:00:00"/>
    <n v="1040000"/>
    <n v="26262.63"/>
    <n v="1"/>
    <s v="Ипотека"/>
    <s v="Квартира"/>
    <s v="Дюртюлинский"/>
    <x v="9"/>
    <s v="Садовая"/>
    <n v="5"/>
    <n v="2"/>
    <n v="2007"/>
  </r>
  <r>
    <x v="51"/>
    <x v="113"/>
    <s v="Договор купли-продажи"/>
    <d v="2017-02-01T00:00:00"/>
    <d v="2017-02-01T00:00:00"/>
    <n v="1040000"/>
    <n v="26262.63"/>
    <n v="1"/>
    <s v="Ипотека"/>
    <s v="Квартира"/>
    <s v="Дюртюлинский"/>
    <x v="9"/>
    <s v="Садовая"/>
    <n v="5"/>
    <n v="2"/>
    <n v="2007"/>
  </r>
  <r>
    <x v="52"/>
    <x v="114"/>
    <s v="Договор купли-продажи"/>
    <d v="2016-10-01T00:00:00"/>
    <d v="2016-10-01T00:00:00"/>
    <n v="1320000"/>
    <n v="27216.49"/>
    <n v="1"/>
    <s v="Ипотека"/>
    <s v="Квартира"/>
    <s v="Дюртюлинский"/>
    <x v="9"/>
    <s v="Матросова"/>
    <n v="5"/>
    <n v="2"/>
    <n v="2015"/>
  </r>
  <r>
    <x v="52"/>
    <x v="114"/>
    <s v="Договор купли-продажи"/>
    <d v="2016-10-01T00:00:00"/>
    <d v="2016-10-01T00:00:00"/>
    <n v="1320000"/>
    <n v="27216.49"/>
    <n v="1"/>
    <s v="Ипотека"/>
    <s v="Квартира"/>
    <s v="Дюртюлинский"/>
    <x v="9"/>
    <s v="Матросова"/>
    <n v="5"/>
    <n v="2"/>
    <n v="2015"/>
  </r>
  <r>
    <x v="54"/>
    <x v="115"/>
    <s v="Договор купли-продажи"/>
    <d v="2016-11-01T00:00:00"/>
    <d v="2016-11-01T00:00:00"/>
    <n v="735000"/>
    <n v="27631.58"/>
    <n v="1"/>
    <s v="Ипотека"/>
    <s v="Квартира"/>
    <s v="Дюртюлинский"/>
    <x v="9"/>
    <s v="Октябрьская"/>
    <n v="1"/>
    <n v="1"/>
    <n v="2006"/>
  </r>
  <r>
    <x v="55"/>
    <x v="116"/>
    <s v="Договор купли-продажи"/>
    <d v="2016-10-01T00:00:00"/>
    <d v="2016-10-01T00:00:00"/>
    <n v="1658000"/>
    <n v="27633.33"/>
    <n v="1"/>
    <s v="Ипотека"/>
    <s v="Квартира"/>
    <s v="Дюртюлинский"/>
    <x v="9"/>
    <s v="Назара Наджми"/>
    <n v="1"/>
    <n v="1"/>
    <n v="2004"/>
  </r>
  <r>
    <x v="52"/>
    <x v="117"/>
    <s v="Договор купли-продажи"/>
    <d v="2017-02-01T00:00:00"/>
    <d v="2017-02-01T00:00:00"/>
    <n v="1680000"/>
    <n v="28235.29"/>
    <n v="1"/>
    <s v="Ипотека"/>
    <s v="Квартира"/>
    <s v="Дюртюлинский"/>
    <x v="9"/>
    <s v="Первомайская"/>
    <n v="5"/>
    <n v="2"/>
    <n v="2013"/>
  </r>
  <r>
    <x v="52"/>
    <x v="117"/>
    <s v="Договор купли-продажи"/>
    <d v="2017-02-01T00:00:00"/>
    <d v="2017-02-01T00:00:00"/>
    <n v="1680000"/>
    <n v="28235.29"/>
    <n v="1"/>
    <s v="Ипотека"/>
    <s v="Квартира"/>
    <s v="Дюртюлинский"/>
    <x v="9"/>
    <s v="Первомайская"/>
    <n v="5"/>
    <n v="2"/>
    <n v="2013"/>
  </r>
  <r>
    <x v="51"/>
    <x v="118"/>
    <s v="Договор купли-продажи"/>
    <d v="2016-12-01T00:00:00"/>
    <d v="2016-12-01T00:00:00"/>
    <n v="1280000"/>
    <n v="28635.35"/>
    <n v="1"/>
    <s v="Ипотека"/>
    <s v="Квартира"/>
    <s v="Дюртюлинский"/>
    <x v="9"/>
    <s v="Василия Горшкова"/>
    <n v="3"/>
    <n v="1"/>
    <n v="2002"/>
  </r>
  <r>
    <x v="53"/>
    <x v="119"/>
    <s v="Договор купли-продажи"/>
    <d v="2016-11-01T00:00:00"/>
    <d v="2016-11-01T00:00:00"/>
    <n v="2750000"/>
    <n v="28826"/>
    <n v="1"/>
    <s v="Ипотека"/>
    <s v="Квартира"/>
    <s v="Дюртюлинский"/>
    <x v="9"/>
    <s v="Зиннура Зарипова"/>
    <n v="4"/>
    <n v="1"/>
    <n v="2004"/>
  </r>
  <r>
    <x v="56"/>
    <x v="120"/>
    <s v="Договор купли-продажи"/>
    <d v="2016-12-01T00:00:00"/>
    <d v="2016-12-01T00:00:00"/>
    <n v="2191000"/>
    <n v="29135.64"/>
    <n v="1"/>
    <s v="Ипотека"/>
    <s v="Квартира"/>
    <s v="Дюртюлинский"/>
    <x v="9"/>
    <s v="Ленина"/>
    <n v="5"/>
    <n v="2"/>
    <n v="2016"/>
  </r>
  <r>
    <x v="56"/>
    <x v="120"/>
    <s v="Договор купли-продажи"/>
    <d v="2016-12-01T00:00:00"/>
    <d v="2016-12-01T00:00:00"/>
    <n v="2191000"/>
    <n v="29135.64"/>
    <n v="1"/>
    <s v="Ипотека"/>
    <s v="Квартира"/>
    <s v="Дюртюлинский"/>
    <x v="9"/>
    <s v="Ленина"/>
    <n v="5"/>
    <n v="2"/>
    <n v="2016"/>
  </r>
  <r>
    <x v="56"/>
    <x v="121"/>
    <s v="Договор купли-продажи"/>
    <d v="2016-10-01T00:00:00"/>
    <d v="2016-10-01T00:00:00"/>
    <n v="1907200"/>
    <n v="29296.47"/>
    <n v="1"/>
    <s v="Ипотека"/>
    <s v="Квартира"/>
    <s v="Дюртюлинский"/>
    <x v="9"/>
    <s v="Ленина"/>
    <n v="4"/>
    <n v="1"/>
    <n v="2016"/>
  </r>
  <r>
    <x v="52"/>
    <x v="122"/>
    <s v="Договор купли-продажи"/>
    <d v="2017-02-01T00:00:00"/>
    <d v="2017-02-01T00:00:00"/>
    <n v="1500000"/>
    <n v="29702.97"/>
    <n v="1"/>
    <s v="Ипотека"/>
    <s v="Квартира"/>
    <s v="Дюртюлинский"/>
    <x v="9"/>
    <s v="Садовая"/>
    <n v="4"/>
    <n v="2"/>
    <n v="2001"/>
  </r>
  <r>
    <x v="52"/>
    <x v="122"/>
    <s v="Договор купли-продажи"/>
    <d v="2017-02-01T00:00:00"/>
    <d v="2017-02-01T00:00:00"/>
    <n v="1500000"/>
    <n v="29702.97"/>
    <n v="1"/>
    <s v="Ипотека"/>
    <s v="Квартира"/>
    <s v="Дюртюлинский"/>
    <x v="9"/>
    <s v="Садовая"/>
    <n v="4"/>
    <n v="2"/>
    <n v="2001"/>
  </r>
  <r>
    <x v="52"/>
    <x v="52"/>
    <s v="Договор купли-продажи"/>
    <d v="2017-01-01T00:00:00"/>
    <d v="2017-02-01T00:00:00"/>
    <n v="1440000"/>
    <n v="30125.52"/>
    <n v="1"/>
    <s v="Ипотека"/>
    <s v="Квартира"/>
    <s v="Дюртюлинский"/>
    <x v="9"/>
    <s v="Садовая"/>
    <n v="2"/>
    <n v="1"/>
    <n v="2002"/>
  </r>
  <r>
    <x v="51"/>
    <x v="96"/>
    <s v="Договор купли-продажи"/>
    <d v="2017-02-01T00:00:00"/>
    <d v="2017-02-01T00:00:00"/>
    <n v="1680000"/>
    <n v="30215.83"/>
    <n v="1"/>
    <s v="Ипотека"/>
    <s v="Квартира"/>
    <s v="Дюртюлинский"/>
    <x v="9"/>
    <s v="Первомайская"/>
    <n v="3"/>
    <n v="2"/>
    <n v="2002"/>
  </r>
  <r>
    <x v="51"/>
    <x v="96"/>
    <s v="Договор купли-продажи"/>
    <d v="2017-02-01T00:00:00"/>
    <d v="2017-02-01T00:00:00"/>
    <n v="1680000"/>
    <n v="30215.83"/>
    <n v="1"/>
    <s v="Ипотека"/>
    <s v="Квартира"/>
    <s v="Дюртюлинский"/>
    <x v="9"/>
    <s v="Первомайская"/>
    <n v="3"/>
    <n v="2"/>
    <n v="2002"/>
  </r>
  <r>
    <x v="57"/>
    <x v="123"/>
    <s v="Договор купли-продажи"/>
    <d v="2016-11-01T00:00:00"/>
    <d v="2016-11-01T00:00:00"/>
    <n v="1400000"/>
    <n v="30303.03"/>
    <n v="1"/>
    <s v="Ипотека"/>
    <s v="Квартира"/>
    <s v="Дюртюлинский"/>
    <x v="9"/>
    <s v="Электрическая"/>
    <n v="3"/>
    <n v="1"/>
    <n v="2014"/>
  </r>
  <r>
    <x v="52"/>
    <x v="94"/>
    <s v="Договор купли-продажи"/>
    <d v="2017-02-01T00:00:00"/>
    <d v="2017-02-01T00:00:00"/>
    <n v="1840000"/>
    <n v="30872.48"/>
    <n v="1"/>
    <s v="Ипотека"/>
    <s v="Квартира"/>
    <s v="Дюртюлинский"/>
    <x v="9"/>
    <s v="Матросова"/>
    <n v="4"/>
    <n v="1"/>
    <n v="2007"/>
  </r>
  <r>
    <x v="51"/>
    <x v="124"/>
    <s v="Договор купли-продажи"/>
    <d v="2016-12-01T00:00:00"/>
    <d v="2017-01-01T00:00:00"/>
    <n v="1900000"/>
    <n v="31509.119999999999"/>
    <n v="1"/>
    <s v="Ипотека"/>
    <s v="Квартира"/>
    <s v="Дюртюлинский"/>
    <x v="9"/>
    <s v="Первомайская"/>
    <n v="3"/>
    <n v="2"/>
    <n v="2002"/>
  </r>
  <r>
    <x v="51"/>
    <x v="124"/>
    <s v="Договор купли-продажи"/>
    <d v="2016-12-01T00:00:00"/>
    <d v="2017-01-01T00:00:00"/>
    <n v="1900000"/>
    <n v="31509.119999999999"/>
    <n v="1"/>
    <s v="Ипотека"/>
    <s v="Квартира"/>
    <s v="Дюртюлинский"/>
    <x v="9"/>
    <s v="Первомайская"/>
    <n v="3"/>
    <n v="2"/>
    <n v="2002"/>
  </r>
  <r>
    <x v="51"/>
    <x v="109"/>
    <s v="Договор купли-продажи"/>
    <d v="2017-01-01T00:00:00"/>
    <d v="2017-02-01T00:00:00"/>
    <n v="1600000"/>
    <n v="31558.19"/>
    <n v="1"/>
    <s v="Ипотека"/>
    <s v="Квартира"/>
    <s v="Дюртюлинский"/>
    <x v="9"/>
    <s v="Василия Горшкова"/>
    <n v="2"/>
    <n v="1"/>
    <n v="2009"/>
  </r>
  <r>
    <x v="51"/>
    <x v="125"/>
    <s v="Договор купли-продажи"/>
    <d v="2017-02-01T00:00:00"/>
    <d v="2017-02-01T00:00:00"/>
    <n v="1615000"/>
    <n v="32171.31"/>
    <n v="1"/>
    <s v="Ипотека"/>
    <s v="Квартира"/>
    <s v="Дюртюлинский"/>
    <x v="9"/>
    <s v="Первомайская"/>
    <n v="2"/>
    <n v="1"/>
    <n v="2017"/>
  </r>
  <r>
    <x v="56"/>
    <x v="126"/>
    <s v="Договор купли-продажи"/>
    <d v="2016-09-01T00:00:00"/>
    <d v="2016-10-01T00:00:00"/>
    <n v="1929920"/>
    <n v="32219.03"/>
    <n v="1"/>
    <s v="Ипотека"/>
    <s v="Квартира"/>
    <s v="Дюртюлинский"/>
    <x v="9"/>
    <s v="Ленина"/>
    <n v="5"/>
    <n v="1"/>
    <n v="2016"/>
  </r>
  <r>
    <x v="51"/>
    <x v="60"/>
    <s v="Договор купли-продажи"/>
    <d v="2016-11-01T00:00:00"/>
    <d v="2016-11-01T00:00:00"/>
    <n v="1433026"/>
    <n v="32642.959999999999"/>
    <n v="1"/>
    <s v="Ипотека"/>
    <s v="Квартира"/>
    <s v="Дюртюлинский"/>
    <x v="9"/>
    <s v="Садовая"/>
    <n v="4"/>
    <n v="2"/>
    <n v="2000"/>
  </r>
  <r>
    <x v="51"/>
    <x v="60"/>
    <s v="Договор купли-продажи"/>
    <d v="2016-11-01T00:00:00"/>
    <d v="2016-11-01T00:00:00"/>
    <n v="1433026"/>
    <n v="32642.959999999999"/>
    <n v="1"/>
    <s v="Ипотека"/>
    <s v="Квартира"/>
    <s v="Дюртюлинский"/>
    <x v="9"/>
    <s v="Садовая"/>
    <n v="4"/>
    <n v="2"/>
    <n v="2000"/>
  </r>
  <r>
    <x v="52"/>
    <x v="28"/>
    <s v="Договор купли-продажи"/>
    <d v="2016-10-01T00:00:00"/>
    <d v="2016-10-01T00:00:00"/>
    <n v="1600000"/>
    <n v="32786.89"/>
    <n v="1"/>
    <s v="Ипотека"/>
    <s v="Квартира"/>
    <s v="Дюртюлинский"/>
    <x v="9"/>
    <s v="Садовая"/>
    <n v="5"/>
    <n v="1"/>
    <n v="2000"/>
  </r>
  <r>
    <x v="55"/>
    <x v="127"/>
    <s v="Договор купли-продажи"/>
    <d v="2017-02-01T00:00:00"/>
    <d v="2017-02-01T00:00:00"/>
    <n v="900000"/>
    <n v="33088.239999999998"/>
    <n v="1"/>
    <s v="Ипотека"/>
    <s v="Квартира"/>
    <s v="Дюртюлинский"/>
    <x v="9"/>
    <s v="Пионерская"/>
    <n v="2"/>
    <n v="1"/>
    <n v="2016"/>
  </r>
  <r>
    <x v="51"/>
    <x v="128"/>
    <s v="Договор купли-продажи"/>
    <d v="2017-03-01T00:00:00"/>
    <d v="2017-03-01T00:00:00"/>
    <n v="1400000"/>
    <n v="33096.93"/>
    <n v="1"/>
    <s v="Ипотека"/>
    <s v="Квартира"/>
    <s v="Дюртюлинский"/>
    <x v="9"/>
    <s v="Василия Горшкова"/>
    <n v="1"/>
    <n v="2"/>
    <n v="2006"/>
  </r>
  <r>
    <x v="51"/>
    <x v="128"/>
    <s v="Договор купли-продажи"/>
    <d v="2017-03-01T00:00:00"/>
    <d v="2017-03-01T00:00:00"/>
    <n v="1400000"/>
    <n v="33096.93"/>
    <n v="1"/>
    <s v="Ипотека"/>
    <s v="Квартира"/>
    <s v="Дюртюлинский"/>
    <x v="9"/>
    <s v="Василия Горшкова"/>
    <n v="1"/>
    <n v="2"/>
    <n v="2006"/>
  </r>
  <r>
    <x v="51"/>
    <x v="129"/>
    <s v="Договор купли-продажи"/>
    <d v="2016-12-01T00:00:00"/>
    <d v="2016-12-01T00:00:00"/>
    <n v="1439000"/>
    <n v="33779.339999999997"/>
    <n v="1"/>
    <s v="Ипотека"/>
    <s v="Квартира"/>
    <s v="Дюртюлинский"/>
    <x v="9"/>
    <s v="Ленина"/>
    <n v="4"/>
    <n v="2"/>
    <n v="2012"/>
  </r>
  <r>
    <x v="51"/>
    <x v="129"/>
    <s v="Договор купли-продажи"/>
    <d v="2016-12-01T00:00:00"/>
    <d v="2016-12-01T00:00:00"/>
    <n v="1439000"/>
    <n v="33779.339999999997"/>
    <n v="1"/>
    <s v="Ипотека"/>
    <s v="Квартира"/>
    <s v="Дюртюлинский"/>
    <x v="9"/>
    <s v="Ленина"/>
    <n v="4"/>
    <n v="2"/>
    <n v="2012"/>
  </r>
  <r>
    <x v="51"/>
    <x v="47"/>
    <s v="Договор купли-продажи"/>
    <d v="2016-10-01T00:00:00"/>
    <d v="2016-10-01T00:00:00"/>
    <n v="1900000"/>
    <n v="33928.57"/>
    <n v="1"/>
    <s v="Ипотека"/>
    <s v="Квартира"/>
    <s v="Дюртюлинский"/>
    <x v="9"/>
    <s v="Василия Горшкова"/>
    <n v="5"/>
    <n v="2"/>
    <n v="2016"/>
  </r>
  <r>
    <x v="51"/>
    <x v="47"/>
    <s v="Договор купли-продажи"/>
    <d v="2016-10-01T00:00:00"/>
    <d v="2016-10-01T00:00:00"/>
    <n v="1900000"/>
    <n v="33928.57"/>
    <n v="1"/>
    <s v="Ипотека"/>
    <s v="Квартира"/>
    <s v="Дюртюлинский"/>
    <x v="9"/>
    <s v="Василия Горшкова"/>
    <n v="5"/>
    <n v="2"/>
    <n v="2016"/>
  </r>
  <r>
    <x v="52"/>
    <x v="130"/>
    <s v="Договор купли-продажи"/>
    <d v="2016-10-01T00:00:00"/>
    <d v="2016-10-01T00:00:00"/>
    <n v="1391200"/>
    <n v="34266.01"/>
    <n v="1"/>
    <s v="Ипотека"/>
    <s v="Квартира"/>
    <s v="Дюртюлинский"/>
    <x v="9"/>
    <s v="Садовая"/>
    <n v="4"/>
    <n v="1"/>
    <n v="2002"/>
  </r>
  <r>
    <x v="51"/>
    <x v="131"/>
    <s v="Договор купли-продажи"/>
    <d v="2017-03-01T00:00:00"/>
    <d v="2017-03-01T00:00:00"/>
    <n v="1600000"/>
    <n v="36529.68"/>
    <n v="1"/>
    <s v="Ипотека"/>
    <s v="Квартира"/>
    <s v="Дюртюлинский"/>
    <x v="9"/>
    <s v="Первомайская"/>
    <n v="2"/>
    <n v="2"/>
    <n v="1999"/>
  </r>
  <r>
    <x v="51"/>
    <x v="131"/>
    <s v="Договор купли-продажи"/>
    <d v="2017-03-01T00:00:00"/>
    <d v="2017-03-01T00:00:00"/>
    <n v="1600000"/>
    <n v="36529.68"/>
    <n v="1"/>
    <s v="Ипотека"/>
    <s v="Квартира"/>
    <s v="Дюртюлинский"/>
    <x v="9"/>
    <s v="Первомайская"/>
    <n v="2"/>
    <n v="2"/>
    <n v="1999"/>
  </r>
  <r>
    <x v="51"/>
    <x v="132"/>
    <s v="Договор купли-продажи"/>
    <d v="2016-11-01T00:00:00"/>
    <d v="2016-11-01T00:00:00"/>
    <n v="1116000"/>
    <n v="36710.53"/>
    <n v="1"/>
    <s v="Ипотека"/>
    <s v="Квартира"/>
    <s v="Дюртюлинский"/>
    <x v="9"/>
    <s v="Василия Горшкова"/>
    <n v="5"/>
    <n v="1"/>
    <n v="2002"/>
  </r>
  <r>
    <x v="51"/>
    <x v="2"/>
    <s v="Договор купли-продажи"/>
    <d v="2016-11-01T00:00:00"/>
    <d v="2016-11-01T00:00:00"/>
    <n v="1144000"/>
    <n v="38133.33"/>
    <n v="1"/>
    <s v="Ипотека"/>
    <s v="Квартира"/>
    <s v="Дюртюлинский"/>
    <x v="9"/>
    <s v="Первомайская"/>
    <n v="3"/>
    <n v="2"/>
    <n v="2003"/>
  </r>
  <r>
    <x v="51"/>
    <x v="2"/>
    <s v="Договор купли-продажи"/>
    <d v="2016-11-01T00:00:00"/>
    <d v="2016-11-01T00:00:00"/>
    <n v="1144000"/>
    <n v="38133.33"/>
    <n v="1"/>
    <s v="Ипотека"/>
    <s v="Квартира"/>
    <s v="Дюртюлинский"/>
    <x v="9"/>
    <s v="Первомайская"/>
    <n v="3"/>
    <n v="2"/>
    <n v="2003"/>
  </r>
  <r>
    <x v="52"/>
    <x v="15"/>
    <s v="Договор купли-продажи"/>
    <d v="2016-12-01T00:00:00"/>
    <d v="2016-12-01T00:00:00"/>
    <n v="1900000"/>
    <n v="38461.54"/>
    <n v="1"/>
    <s v="Ипотека"/>
    <s v="Квартира"/>
    <s v="Дюртюлинский"/>
    <x v="9"/>
    <s v="Первомайская"/>
    <n v="2"/>
    <n v="1"/>
    <n v="2001"/>
  </r>
  <r>
    <x v="51"/>
    <x v="46"/>
    <s v="Договор купли-продажи"/>
    <d v="2017-01-01T00:00:00"/>
    <d v="2017-02-01T00:00:00"/>
    <n v="1270000"/>
    <n v="38719.51"/>
    <n v="1"/>
    <s v="Ипотека"/>
    <s v="Квартира"/>
    <s v="Дюртюлинский"/>
    <x v="9"/>
    <s v="Василия Горшкова"/>
    <n v="4"/>
    <n v="2"/>
    <n v="2006"/>
  </r>
  <r>
    <x v="51"/>
    <x v="46"/>
    <s v="Договор купли-продажи"/>
    <d v="2017-01-01T00:00:00"/>
    <d v="2017-02-01T00:00:00"/>
    <n v="1270000"/>
    <n v="38719.51"/>
    <n v="1"/>
    <s v="Ипотека"/>
    <s v="Квартира"/>
    <s v="Дюртюлинский"/>
    <x v="9"/>
    <s v="Василия Горшкова"/>
    <n v="4"/>
    <n v="2"/>
    <n v="2006"/>
  </r>
  <r>
    <x v="51"/>
    <x v="133"/>
    <s v="Договор купли-продажи"/>
    <d v="2017-01-01T00:00:00"/>
    <d v="2017-01-01T00:00:00"/>
    <n v="1240000"/>
    <n v="38871.47"/>
    <n v="1"/>
    <s v="Ипотека"/>
    <s v="Квартира"/>
    <s v="Дюртюлинский"/>
    <x v="9"/>
    <s v="Ленина"/>
    <n v="5"/>
    <n v="1"/>
    <n v="2007"/>
  </r>
  <r>
    <x v="58"/>
    <x v="134"/>
    <s v="Договор купли-продажи"/>
    <d v="2017-03-01T00:00:00"/>
    <d v="2017-03-01T00:00:00"/>
    <n v="454000"/>
    <n v="11884.82"/>
    <n v="1"/>
    <s v="Ипотека"/>
    <s v="Квартира"/>
    <s v="Караидельский"/>
    <x v="10"/>
    <s v="Северная"/>
    <n v="1"/>
    <n v="1"/>
    <n v="2001"/>
  </r>
  <r>
    <x v="59"/>
    <x v="45"/>
    <s v="Договор купли-продажи"/>
    <d v="2016-10-01T00:00:00"/>
    <d v="2016-11-01T00:00:00"/>
    <n v="961250"/>
    <n v="22617.65"/>
    <n v="1"/>
    <s v="Ипотека"/>
    <s v="Помещение"/>
    <s v="Кармаскалинский"/>
    <x v="11"/>
    <s v="Рафикова"/>
    <n v="1"/>
    <n v="1"/>
    <n v="2016"/>
  </r>
  <r>
    <x v="59"/>
    <x v="135"/>
    <s v="Договор купли-продажи"/>
    <d v="2016-09-01T00:00:00"/>
    <d v="2016-10-01T00:00:00"/>
    <n v="988300"/>
    <n v="23530.95"/>
    <n v="1"/>
    <s v="Ипотека"/>
    <s v="Помещение"/>
    <s v="Кармаскалинский"/>
    <x v="11"/>
    <s v="Рафикова"/>
    <n v="1"/>
    <n v="1"/>
    <n v="2016"/>
  </r>
  <r>
    <x v="59"/>
    <x v="50"/>
    <s v="Договор купли-продажи"/>
    <d v="2016-10-01T00:00:00"/>
    <d v="2016-11-01T00:00:00"/>
    <n v="998300"/>
    <n v="23712.59"/>
    <n v="1"/>
    <s v="Ипотека"/>
    <s v="Помещение"/>
    <s v="Кармаскалинский"/>
    <x v="11"/>
    <s v="Рафикова"/>
    <n v="1"/>
    <n v="1"/>
    <n v="2016"/>
  </r>
  <r>
    <x v="59"/>
    <x v="84"/>
    <s v="Договор купли-продажи"/>
    <d v="2016-12-01T00:00:00"/>
    <d v="2017-03-01T00:00:00"/>
    <n v="980000"/>
    <n v="23786.41"/>
    <n v="1"/>
    <s v="Ипотека"/>
    <s v="Помещение"/>
    <s v="Кармаскалинский"/>
    <x v="11"/>
    <s v="Рафикова"/>
    <n v="3"/>
    <n v="1"/>
    <n v="2016"/>
  </r>
  <r>
    <x v="59"/>
    <x v="136"/>
    <s v="Договор купли-продажи"/>
    <d v="2016-10-01T00:00:00"/>
    <d v="2016-10-01T00:00:00"/>
    <n v="982680"/>
    <n v="23793.7"/>
    <n v="1"/>
    <s v="Ипотека"/>
    <s v="Помещение"/>
    <s v="Кармаскалинский"/>
    <x v="11"/>
    <s v="Рафикова"/>
    <n v="1"/>
    <n v="2"/>
    <n v="2016"/>
  </r>
  <r>
    <x v="59"/>
    <x v="136"/>
    <s v="Договор купли-продажи"/>
    <d v="2016-10-01T00:00:00"/>
    <d v="2016-10-01T00:00:00"/>
    <n v="982680"/>
    <n v="23793.7"/>
    <n v="1"/>
    <s v="Ипотека"/>
    <s v="Помещение"/>
    <s v="Кармаскалинский"/>
    <x v="11"/>
    <s v="Рафикова"/>
    <n v="1"/>
    <n v="2"/>
    <n v="2016"/>
  </r>
  <r>
    <x v="60"/>
    <x v="137"/>
    <s v="Договор купли-продажи"/>
    <d v="2017-02-01T00:00:00"/>
    <d v="2017-02-01T00:00:00"/>
    <n v="453026"/>
    <n v="29040.13"/>
    <n v="1"/>
    <s v="Ипотека"/>
    <s v="Квартира"/>
    <s v="Кармаскалинский"/>
    <x v="11"/>
    <s v="Кирова"/>
    <n v="1"/>
    <n v="1"/>
    <n v="2010"/>
  </r>
  <r>
    <x v="59"/>
    <x v="138"/>
    <s v="Договор купли-продажи"/>
    <d v="2017-02-01T00:00:00"/>
    <d v="2017-02-01T00:00:00"/>
    <n v="1230000"/>
    <n v="29567.31"/>
    <n v="1"/>
    <s v="Ипотека"/>
    <s v="Помещение"/>
    <s v="Кармаскалинский"/>
    <x v="11"/>
    <s v="Центральная"/>
    <n v="2"/>
    <n v="1"/>
    <n v="2015"/>
  </r>
  <r>
    <x v="59"/>
    <x v="139"/>
    <s v="Договор купли-продажи"/>
    <d v="2016-10-01T00:00:00"/>
    <d v="2016-11-01T00:00:00"/>
    <n v="1219800"/>
    <n v="29751.22"/>
    <n v="1"/>
    <s v="Ипотека"/>
    <s v="Помещение"/>
    <s v="Кармаскалинский"/>
    <x v="11"/>
    <s v="Рафикова"/>
    <n v="2"/>
    <n v="2"/>
    <n v="2016"/>
  </r>
  <r>
    <x v="59"/>
    <x v="139"/>
    <s v="Договор купли-продажи"/>
    <d v="2016-10-01T00:00:00"/>
    <d v="2016-11-01T00:00:00"/>
    <n v="1219800"/>
    <n v="29751.22"/>
    <n v="1"/>
    <s v="Ипотека"/>
    <s v="Помещение"/>
    <s v="Кармаскалинский"/>
    <x v="11"/>
    <s v="Рафикова"/>
    <n v="2"/>
    <n v="2"/>
    <n v="2016"/>
  </r>
  <r>
    <x v="61"/>
    <x v="140"/>
    <s v="Договор купли-продажи"/>
    <d v="2016-09-01T00:00:00"/>
    <d v="2016-10-01T00:00:00"/>
    <n v="1500000"/>
    <n v="31645.57"/>
    <n v="1"/>
    <s v="Ипотека"/>
    <s v="Квартира"/>
    <s v="Кармаскалинский"/>
    <x v="11"/>
    <s v="Кирова"/>
    <n v="1"/>
    <n v="2"/>
    <n v="2005"/>
  </r>
  <r>
    <x v="61"/>
    <x v="140"/>
    <s v="Договор купли-продажи"/>
    <d v="2016-09-01T00:00:00"/>
    <d v="2016-10-01T00:00:00"/>
    <n v="1500000"/>
    <n v="31645.57"/>
    <n v="1"/>
    <s v="Ипотека"/>
    <s v="Квартира"/>
    <s v="Кармаскалинский"/>
    <x v="11"/>
    <s v="Кирова"/>
    <n v="1"/>
    <n v="2"/>
    <n v="2005"/>
  </r>
  <r>
    <x v="62"/>
    <x v="141"/>
    <s v="Договор купли-продажи"/>
    <d v="2016-11-01T00:00:00"/>
    <d v="2016-11-01T00:00:00"/>
    <n v="500000"/>
    <n v="14326.65"/>
    <n v="1"/>
    <s v="Ипотека"/>
    <s v="Квартира"/>
    <s v="Гафурийский"/>
    <x v="12"/>
    <s v="Садовая"/>
    <n v="3"/>
    <n v="1"/>
    <n v="2016"/>
  </r>
  <r>
    <x v="62"/>
    <x v="57"/>
    <s v="Договор купли-продажи"/>
    <d v="2017-03-01T00:00:00"/>
    <d v="2017-03-01T00:00:00"/>
    <n v="495000"/>
    <n v="14644.97"/>
    <n v="1"/>
    <s v="Ипотека"/>
    <s v="Квартира"/>
    <s v="Гафурийский"/>
    <x v="12"/>
    <s v="Садовая"/>
    <n v="3"/>
    <n v="1"/>
    <n v="2016"/>
  </r>
  <r>
    <x v="62"/>
    <x v="142"/>
    <s v="Договор купли-продажи"/>
    <d v="2017-03-01T00:00:00"/>
    <d v="2017-03-01T00:00:00"/>
    <n v="1231000"/>
    <n v="21297.58"/>
    <n v="1"/>
    <s v="Ипотека"/>
    <s v="Квартира"/>
    <s v="Гафурийский"/>
    <x v="12"/>
    <s v="Калмыкова"/>
    <n v="2"/>
    <n v="1"/>
    <n v="2002"/>
  </r>
  <r>
    <x v="62"/>
    <x v="143"/>
    <s v="Договор купли-продажи"/>
    <d v="2017-03-01T00:00:00"/>
    <d v="2017-03-01T00:00:00"/>
    <n v="1320000"/>
    <n v="24000"/>
    <n v="1"/>
    <s v="Ипотека"/>
    <s v="Квартира"/>
    <s v="Гафурийский"/>
    <x v="12"/>
    <s v="Киекбаева"/>
    <n v="1"/>
    <n v="1"/>
    <n v="2015"/>
  </r>
  <r>
    <x v="63"/>
    <x v="36"/>
    <s v="Договор купли-продажи"/>
    <d v="2017-02-01T00:00:00"/>
    <d v="2017-02-01T00:00:00"/>
    <n v="942400"/>
    <n v="28215.57"/>
    <n v="1"/>
    <s v="Ипотека"/>
    <s v="Квартира"/>
    <s v="Гафурийский"/>
    <x v="12"/>
    <s v="Гагарина"/>
    <n v="1"/>
    <n v="1"/>
    <n v="2015"/>
  </r>
  <r>
    <x v="64"/>
    <x v="144"/>
    <s v="Договор купли-продажи"/>
    <d v="2016-10-01T00:00:00"/>
    <d v="2016-11-01T00:00:00"/>
    <n v="1000000"/>
    <n v="24570.02"/>
    <n v="1"/>
    <s v="Ипотека"/>
    <s v="Квартира"/>
    <s v="Иглинский"/>
    <x v="13"/>
    <s v="Мира"/>
    <n v="1"/>
    <n v="2"/>
    <n v="2014"/>
  </r>
  <r>
    <x v="64"/>
    <x v="144"/>
    <s v="Договор купли-продажи"/>
    <d v="2016-10-01T00:00:00"/>
    <d v="2016-11-01T00:00:00"/>
    <n v="1000000"/>
    <n v="24570.02"/>
    <n v="1"/>
    <s v="Ипотека"/>
    <s v="Квартира"/>
    <s v="Иглинский"/>
    <x v="13"/>
    <s v="Мира"/>
    <n v="1"/>
    <n v="2"/>
    <n v="2014"/>
  </r>
  <r>
    <x v="65"/>
    <x v="145"/>
    <s v="Договор купли-продажи"/>
    <d v="2016-10-01T00:00:00"/>
    <d v="2016-10-01T00:00:00"/>
    <n v="1190000"/>
    <n v="21024.74"/>
    <n v="1"/>
    <s v="Ипотека"/>
    <s v="Квартира"/>
    <m/>
    <x v="14"/>
    <s v="Пушкина"/>
    <n v="1"/>
    <n v="1"/>
    <n v="2008"/>
  </r>
  <r>
    <x v="66"/>
    <x v="146"/>
    <s v="Договор купли-продажи"/>
    <d v="2016-12-01T00:00:00"/>
    <d v="2016-12-01T00:00:00"/>
    <n v="2700000"/>
    <n v="21093.75"/>
    <n v="1"/>
    <s v="Ипотека"/>
    <s v="Квартира"/>
    <m/>
    <x v="14"/>
    <s v="Советская"/>
    <s v="5, 6"/>
    <n v="1"/>
    <n v="2004"/>
  </r>
  <r>
    <x v="67"/>
    <x v="114"/>
    <s v="Договор купли-продажи"/>
    <d v="2017-01-01T00:00:00"/>
    <d v="2017-01-01T00:00:00"/>
    <n v="1040000"/>
    <n v="21443.3"/>
    <n v="1"/>
    <s v="Ипотека"/>
    <s v="Квартира"/>
    <m/>
    <x v="14"/>
    <s v="Горького"/>
    <n v="5"/>
    <n v="1"/>
    <n v="2006"/>
  </r>
  <r>
    <x v="68"/>
    <x v="147"/>
    <s v="Договор купли-продажи"/>
    <d v="2016-10-01T00:00:00"/>
    <d v="2016-10-01T00:00:00"/>
    <n v="700000"/>
    <n v="21671.83"/>
    <n v="1"/>
    <s v="Ипотека"/>
    <s v="Квартира"/>
    <m/>
    <x v="14"/>
    <s v="Машиностроителей"/>
    <n v="5"/>
    <n v="1"/>
    <n v="2000"/>
  </r>
  <r>
    <x v="68"/>
    <x v="148"/>
    <s v="Договор купли-продажи"/>
    <d v="2016-11-01T00:00:00"/>
    <d v="2016-11-01T00:00:00"/>
    <n v="750000"/>
    <n v="21739.13"/>
    <n v="1"/>
    <s v="Ипотека"/>
    <s v="Квартира"/>
    <m/>
    <x v="14"/>
    <s v="Энергетиков"/>
    <n v="1"/>
    <n v="1"/>
    <n v="2015"/>
  </r>
  <r>
    <x v="69"/>
    <x v="149"/>
    <s v="Договор купли-продажи"/>
    <d v="2016-11-01T00:00:00"/>
    <d v="2016-11-01T00:00:00"/>
    <n v="992000"/>
    <n v="21995.57"/>
    <n v="1"/>
    <s v="Ипотека"/>
    <s v="Квартира"/>
    <m/>
    <x v="14"/>
    <s v="Дзержинского"/>
    <n v="5"/>
    <n v="1"/>
    <n v="2000"/>
  </r>
  <r>
    <x v="68"/>
    <x v="94"/>
    <s v="Договор купли-продажи"/>
    <d v="2016-09-01T00:00:00"/>
    <d v="2016-10-01T00:00:00"/>
    <n v="1320000"/>
    <n v="22147.65"/>
    <n v="1"/>
    <s v="Ипотека"/>
    <s v="Квартира"/>
    <m/>
    <x v="14"/>
    <s v="Энергетиков"/>
    <n v="5"/>
    <n v="1"/>
    <n v="2005"/>
  </r>
  <r>
    <x v="70"/>
    <x v="150"/>
    <s v="Договор купли-продажи"/>
    <d v="2016-10-01T00:00:00"/>
    <d v="2016-10-01T00:00:00"/>
    <n v="1582000"/>
    <n v="22219.1"/>
    <n v="1"/>
    <s v="Ипотека"/>
    <s v="Квартира"/>
    <m/>
    <x v="14"/>
    <s v="Энергетиков"/>
    <n v="4"/>
    <n v="1"/>
    <n v="2016"/>
  </r>
  <r>
    <x v="66"/>
    <x v="151"/>
    <s v="Договор купли-продажи"/>
    <d v="2017-01-01T00:00:00"/>
    <d v="2017-01-01T00:00:00"/>
    <n v="1300000"/>
    <n v="22336.77"/>
    <n v="1"/>
    <s v="Ипотека"/>
    <s v="Квартира"/>
    <m/>
    <x v="14"/>
    <s v="Советская"/>
    <n v="4"/>
    <n v="1"/>
    <n v="2003"/>
  </r>
  <r>
    <x v="65"/>
    <x v="152"/>
    <s v="Договор купли-продажи"/>
    <d v="2016-12-01T00:00:00"/>
    <d v="2016-12-01T00:00:00"/>
    <n v="1320000"/>
    <n v="22448.98"/>
    <n v="1"/>
    <s v="Ипотека"/>
    <s v="Квартира"/>
    <m/>
    <x v="14"/>
    <s v="Пушкина"/>
    <n v="5"/>
    <n v="1"/>
    <n v="2005"/>
  </r>
  <r>
    <x v="71"/>
    <x v="153"/>
    <s v="Договор купли-продажи"/>
    <d v="2016-10-01T00:00:00"/>
    <d v="2016-11-01T00:00:00"/>
    <n v="1440000"/>
    <n v="22570.53"/>
    <n v="1"/>
    <s v="Ипотека"/>
    <s v="Квартира"/>
    <m/>
    <x v="14"/>
    <s v="Лесная"/>
    <n v="4"/>
    <n v="1"/>
    <n v="2007"/>
  </r>
  <r>
    <x v="69"/>
    <x v="154"/>
    <s v="Договор купли-продажи"/>
    <d v="2016-11-01T00:00:00"/>
    <d v="2016-11-01T00:00:00"/>
    <n v="876000"/>
    <n v="22635.66"/>
    <n v="1"/>
    <s v="Ипотека"/>
    <s v="Квартира"/>
    <m/>
    <x v="14"/>
    <s v="Мира"/>
    <n v="5"/>
    <n v="1"/>
    <n v="2003"/>
  </r>
  <r>
    <x v="72"/>
    <x v="14"/>
    <s v="Договор купли-продажи"/>
    <d v="2016-11-01T00:00:00"/>
    <d v="2016-11-01T00:00:00"/>
    <n v="744000"/>
    <n v="22962.959999999999"/>
    <n v="1"/>
    <s v="Ипотека"/>
    <s v="Квартира"/>
    <m/>
    <x v="14"/>
    <m/>
    <n v="2"/>
    <n v="1"/>
    <n v="1999"/>
  </r>
  <r>
    <x v="69"/>
    <x v="155"/>
    <s v="Договор купли-продажи"/>
    <d v="2016-12-01T00:00:00"/>
    <d v="2016-12-01T00:00:00"/>
    <n v="640000"/>
    <n v="23443.22"/>
    <n v="1"/>
    <s v="Ипотека"/>
    <s v="Квартира"/>
    <m/>
    <x v="14"/>
    <s v="Пушкина"/>
    <n v="4"/>
    <n v="1"/>
    <n v="2010"/>
  </r>
  <r>
    <x v="73"/>
    <x v="156"/>
    <s v="Договор купли-продажи"/>
    <d v="2016-09-01T00:00:00"/>
    <d v="2016-10-01T00:00:00"/>
    <n v="1440000"/>
    <n v="23452.77"/>
    <n v="1"/>
    <s v="Ипотека"/>
    <s v="Квартира"/>
    <m/>
    <x v="14"/>
    <s v="60 лет БАССР"/>
    <n v="3"/>
    <n v="1"/>
    <n v="2009"/>
  </r>
  <r>
    <x v="68"/>
    <x v="117"/>
    <s v="Договор купли-продажи"/>
    <d v="2017-03-01T00:00:00"/>
    <d v="2017-03-01T00:00:00"/>
    <n v="1400000"/>
    <n v="23529.41"/>
    <n v="1"/>
    <s v="Ипотека"/>
    <s v="Квартира"/>
    <m/>
    <x v="14"/>
    <s v="Бабаевская"/>
    <n v="5"/>
    <n v="1"/>
    <n v="2006"/>
  </r>
  <r>
    <x v="74"/>
    <x v="157"/>
    <s v="Договор купли-продажи"/>
    <d v="2017-02-01T00:00:00"/>
    <d v="2017-02-01T00:00:00"/>
    <n v="1350000"/>
    <n v="23684.21"/>
    <n v="1"/>
    <s v="Ипотека"/>
    <s v="Квартира"/>
    <m/>
    <x v="14"/>
    <s v="Первомайская"/>
    <n v="5"/>
    <n v="1"/>
    <n v="2012"/>
  </r>
  <r>
    <x v="69"/>
    <x v="158"/>
    <s v="Договор купли-продажи"/>
    <d v="2016-10-01T00:00:00"/>
    <d v="2016-11-01T00:00:00"/>
    <n v="664000"/>
    <n v="23714.29"/>
    <n v="1"/>
    <s v="Ипотека"/>
    <s v="Квартира"/>
    <m/>
    <x v="14"/>
    <s v="Окружная"/>
    <n v="4"/>
    <n v="1"/>
    <n v="1999"/>
  </r>
  <r>
    <x v="68"/>
    <x v="159"/>
    <s v="Договор купли-продажи"/>
    <d v="2016-11-01T00:00:00"/>
    <d v="2016-11-01T00:00:00"/>
    <n v="1200000"/>
    <n v="24000"/>
    <n v="1"/>
    <s v="Ипотека"/>
    <s v="Квартира"/>
    <m/>
    <x v="14"/>
    <s v="Энергетиков"/>
    <n v="7"/>
    <n v="1"/>
    <n v="2002"/>
  </r>
  <r>
    <x v="75"/>
    <x v="160"/>
    <s v="Договор купли-продажи"/>
    <d v="2017-03-01T00:00:00"/>
    <d v="2017-03-01T00:00:00"/>
    <n v="1160000"/>
    <n v="24166.67"/>
    <n v="1"/>
    <s v="Ипотека"/>
    <s v="Квартира"/>
    <m/>
    <x v="14"/>
    <m/>
    <n v="1"/>
    <n v="1"/>
    <n v="2009"/>
  </r>
  <r>
    <x v="72"/>
    <x v="161"/>
    <s v="Договор купли-продажи"/>
    <d v="2016-10-01T00:00:00"/>
    <d v="2016-11-01T00:00:00"/>
    <n v="1400000"/>
    <n v="24432.81"/>
    <n v="1"/>
    <s v="Ипотека"/>
    <s v="Квартира"/>
    <m/>
    <x v="14"/>
    <s v="Салавата"/>
    <n v="2"/>
    <n v="1"/>
    <n v="2008"/>
  </r>
  <r>
    <x v="70"/>
    <x v="162"/>
    <s v="Договор купли-продажи"/>
    <d v="2017-02-01T00:00:00"/>
    <d v="2017-02-01T00:00:00"/>
    <n v="1800000"/>
    <n v="24556.62"/>
    <n v="1"/>
    <s v="Ипотека"/>
    <s v="Квартира"/>
    <m/>
    <x v="14"/>
    <s v="Машиностроителей"/>
    <n v="7"/>
    <n v="1"/>
    <n v="2009"/>
  </r>
  <r>
    <x v="76"/>
    <x v="130"/>
    <s v="Договор купли-продажи"/>
    <d v="2017-02-01T00:00:00"/>
    <d v="2017-03-01T00:00:00"/>
    <n v="1000000"/>
    <n v="24630.54"/>
    <n v="1"/>
    <s v="Ипотека"/>
    <s v="Квартира"/>
    <m/>
    <x v="14"/>
    <s v="Советская"/>
    <n v="1"/>
    <n v="1"/>
    <n v="2005"/>
  </r>
  <r>
    <x v="77"/>
    <x v="39"/>
    <s v="Договор купли-продажи"/>
    <d v="2016-12-01T00:00:00"/>
    <d v="2016-12-01T00:00:00"/>
    <n v="1024000"/>
    <n v="24674.7"/>
    <n v="1"/>
    <s v="Ипотека"/>
    <s v="Квартира"/>
    <m/>
    <x v="14"/>
    <s v="Пушкина"/>
    <n v="5"/>
    <n v="1"/>
    <n v="2005"/>
  </r>
  <r>
    <x v="68"/>
    <x v="163"/>
    <s v="Договор купли-продажи"/>
    <d v="2017-02-01T00:00:00"/>
    <d v="2017-03-01T00:00:00"/>
    <n v="1280000"/>
    <n v="25048.92"/>
    <n v="1"/>
    <s v="Ипотека"/>
    <s v="Квартира"/>
    <m/>
    <x v="14"/>
    <s v="Энергетиков"/>
    <n v="2"/>
    <n v="1"/>
    <n v="2006"/>
  </r>
  <r>
    <x v="76"/>
    <x v="164"/>
    <s v="Договор купли-продажи"/>
    <d v="2016-11-01T00:00:00"/>
    <d v="2016-12-01T00:00:00"/>
    <n v="2420000"/>
    <n v="25051.759999999998"/>
    <n v="1"/>
    <s v="Ипотека"/>
    <s v="Квартира"/>
    <m/>
    <x v="14"/>
    <s v="Карла Маркса"/>
    <n v="2"/>
    <n v="2"/>
    <n v="2010"/>
  </r>
  <r>
    <x v="76"/>
    <x v="164"/>
    <s v="Договор купли-продажи"/>
    <d v="2016-11-01T00:00:00"/>
    <d v="2016-12-01T00:00:00"/>
    <n v="2420000"/>
    <n v="25051.759999999998"/>
    <n v="1"/>
    <s v="Ипотека"/>
    <s v="Квартира"/>
    <m/>
    <x v="14"/>
    <s v="Карла Маркса"/>
    <n v="2"/>
    <n v="2"/>
    <n v="2010"/>
  </r>
  <r>
    <x v="68"/>
    <x v="109"/>
    <s v="Договор купли-продажи"/>
    <d v="2016-11-01T00:00:00"/>
    <d v="2016-11-01T00:00:00"/>
    <n v="1280000"/>
    <n v="25246.55"/>
    <n v="1"/>
    <s v="Ипотека"/>
    <s v="Квартира"/>
    <m/>
    <x v="14"/>
    <s v="Энергетиков"/>
    <n v="4"/>
    <n v="1"/>
    <n v="2009"/>
  </r>
  <r>
    <x v="70"/>
    <x v="165"/>
    <s v="Договор купли-продажи"/>
    <d v="2016-12-01T00:00:00"/>
    <d v="2016-12-01T00:00:00"/>
    <n v="1340000"/>
    <n v="25330.81"/>
    <n v="1"/>
    <s v="Ипотека"/>
    <s v="Квартира"/>
    <m/>
    <x v="14"/>
    <s v="Машиностроителей"/>
    <n v="2"/>
    <n v="2"/>
    <n v="2009"/>
  </r>
  <r>
    <x v="70"/>
    <x v="165"/>
    <s v="Договор купли-продажи"/>
    <d v="2016-12-01T00:00:00"/>
    <d v="2016-12-01T00:00:00"/>
    <n v="1340000"/>
    <n v="25330.81"/>
    <n v="1"/>
    <s v="Ипотека"/>
    <s v="Квартира"/>
    <m/>
    <x v="14"/>
    <s v="Машиностроителей"/>
    <n v="2"/>
    <n v="2"/>
    <n v="2009"/>
  </r>
  <r>
    <x v="68"/>
    <x v="166"/>
    <s v="Договор купли-продажи"/>
    <d v="2016-10-01T00:00:00"/>
    <d v="2016-10-01T00:00:00"/>
    <n v="1680000"/>
    <n v="25570.78"/>
    <n v="1"/>
    <s v="Ипотека"/>
    <s v="Квартира"/>
    <m/>
    <x v="14"/>
    <s v="Бабаевская"/>
    <n v="9"/>
    <n v="1"/>
    <n v="2016"/>
  </r>
  <r>
    <x v="78"/>
    <x v="8"/>
    <s v="Договор купли-продажи"/>
    <d v="2016-12-01T00:00:00"/>
    <d v="2016-12-01T00:00:00"/>
    <n v="1192000"/>
    <n v="25579.4"/>
    <n v="1"/>
    <s v="Ипотека"/>
    <s v="Квартира"/>
    <m/>
    <x v="14"/>
    <s v="40 лет Победы"/>
    <n v="1"/>
    <n v="1"/>
    <n v="2016"/>
  </r>
  <r>
    <x v="77"/>
    <x v="167"/>
    <s v="Договор купли-продажи"/>
    <d v="2017-01-01T00:00:00"/>
    <d v="2017-02-01T00:00:00"/>
    <n v="1600000"/>
    <n v="25806.45"/>
    <n v="1"/>
    <s v="Ипотека"/>
    <s v="Квартира"/>
    <m/>
    <x v="14"/>
    <s v="Горького"/>
    <n v="2"/>
    <n v="1"/>
    <n v="2002"/>
  </r>
  <r>
    <x v="70"/>
    <x v="47"/>
    <s v="Договор купли-продажи"/>
    <d v="2016-10-01T00:00:00"/>
    <d v="2016-10-01T00:00:00"/>
    <n v="1450000"/>
    <n v="25892.86"/>
    <n v="1"/>
    <s v="Ипотека"/>
    <s v="Квартира"/>
    <m/>
    <x v="14"/>
    <s v="Энергетиков"/>
    <n v="5"/>
    <n v="1"/>
    <n v="2012"/>
  </r>
  <r>
    <x v="67"/>
    <x v="168"/>
    <s v="Договор купли-продажи"/>
    <d v="2016-10-01T00:00:00"/>
    <d v="2016-10-01T00:00:00"/>
    <n v="1200000"/>
    <n v="25917.93"/>
    <n v="1"/>
    <s v="Ипотека"/>
    <s v="Квартира"/>
    <m/>
    <x v="14"/>
    <s v="Горького"/>
    <n v="1"/>
    <n v="1"/>
    <n v="2013"/>
  </r>
  <r>
    <x v="74"/>
    <x v="168"/>
    <s v="Договор купли-продажи"/>
    <d v="2016-12-01T00:00:00"/>
    <d v="2016-12-01T00:00:00"/>
    <n v="1200000"/>
    <n v="25917.93"/>
    <n v="1"/>
    <s v="Ипотека"/>
    <s v="Квартира"/>
    <m/>
    <x v="14"/>
    <s v="Калинина"/>
    <n v="5"/>
    <n v="1"/>
    <n v="2009"/>
  </r>
  <r>
    <x v="79"/>
    <x v="169"/>
    <s v="Договор купли-продажи"/>
    <d v="2016-10-01T00:00:00"/>
    <d v="2016-10-01T00:00:00"/>
    <n v="1450000"/>
    <n v="26032.32"/>
    <n v="1"/>
    <s v="Ипотека"/>
    <s v="Квартира"/>
    <m/>
    <x v="14"/>
    <m/>
    <n v="5"/>
    <n v="1"/>
    <n v="2002"/>
  </r>
  <r>
    <x v="70"/>
    <x v="107"/>
    <s v="Договор купли-продажи"/>
    <d v="2016-11-01T00:00:00"/>
    <d v="2016-11-01T00:00:00"/>
    <n v="1320000"/>
    <n v="26086.959999999999"/>
    <n v="1"/>
    <s v="Ипотека"/>
    <s v="Квартира"/>
    <m/>
    <x v="14"/>
    <s v="Энергетиков"/>
    <n v="1"/>
    <n v="1"/>
    <n v="2012"/>
  </r>
  <r>
    <x v="70"/>
    <x v="46"/>
    <s v="Договор купли-продажи"/>
    <d v="2016-10-01T00:00:00"/>
    <d v="2016-10-01T00:00:00"/>
    <n v="870000"/>
    <n v="26524.39"/>
    <n v="1"/>
    <s v="Ипотека"/>
    <s v="Квартира"/>
    <m/>
    <x v="14"/>
    <s v="Машиностроителей"/>
    <n v="2"/>
    <n v="1"/>
    <n v="2009"/>
  </r>
  <r>
    <x v="76"/>
    <x v="135"/>
    <s v="Договор купли-продажи"/>
    <d v="2016-10-01T00:00:00"/>
    <d v="2016-10-01T00:00:00"/>
    <n v="1120000"/>
    <n v="26666.67"/>
    <n v="1"/>
    <s v="Ипотека"/>
    <s v="Квартира"/>
    <m/>
    <x v="14"/>
    <s v="Советская"/>
    <n v="1"/>
    <n v="1"/>
    <n v="2008"/>
  </r>
  <r>
    <x v="79"/>
    <x v="2"/>
    <s v="Договор купли-продажи"/>
    <d v="2017-01-01T00:00:00"/>
    <d v="2017-02-01T00:00:00"/>
    <n v="800000"/>
    <n v="26666.67"/>
    <n v="1"/>
    <s v="Ипотека"/>
    <s v="Квартира"/>
    <m/>
    <x v="14"/>
    <s v="Гафури"/>
    <n v="3"/>
    <n v="1"/>
    <n v="2008"/>
  </r>
  <r>
    <x v="80"/>
    <x v="58"/>
    <s v="Договор купли-продажи"/>
    <d v="2016-12-01T00:00:00"/>
    <d v="2016-12-01T00:00:00"/>
    <n v="795000"/>
    <n v="26677.85"/>
    <n v="1"/>
    <s v="Ипотека"/>
    <s v="Квартира"/>
    <m/>
    <x v="14"/>
    <s v="Шахтостроительная"/>
    <n v="2"/>
    <n v="1"/>
    <n v="2011"/>
  </r>
  <r>
    <x v="77"/>
    <x v="65"/>
    <s v="Договор купли-продажи"/>
    <d v="2016-12-01T00:00:00"/>
    <d v="2016-12-01T00:00:00"/>
    <n v="1100000"/>
    <n v="26894.87"/>
    <n v="1"/>
    <s v="Ипотека"/>
    <s v="Квартира"/>
    <m/>
    <x v="14"/>
    <s v="Ленина"/>
    <n v="1"/>
    <n v="1"/>
    <n v="2001"/>
  </r>
  <r>
    <x v="81"/>
    <x v="170"/>
    <s v="Договор купли-продажи"/>
    <d v="2015-07-01T00:00:00"/>
    <d v="2017-02-01T00:00:00"/>
    <n v="6982190"/>
    <n v="27010.41"/>
    <n v="1"/>
    <s v="Ипотека"/>
    <s v="Помещение"/>
    <m/>
    <x v="14"/>
    <s v="Дзержинского"/>
    <s v="этаж цокольный"/>
    <n v="1"/>
    <n v="2010"/>
  </r>
  <r>
    <x v="67"/>
    <x v="171"/>
    <s v="Договор купли-продажи"/>
    <d v="2016-11-01T00:00:00"/>
    <d v="2016-11-01T00:00:00"/>
    <n v="900000"/>
    <n v="27027.03"/>
    <n v="1"/>
    <s v="Ипотека"/>
    <s v="Квартира"/>
    <m/>
    <x v="14"/>
    <s v="Горького"/>
    <n v="1"/>
    <n v="1"/>
    <n v="2009"/>
  </r>
  <r>
    <x v="72"/>
    <x v="172"/>
    <s v="Договор купли-продажи"/>
    <d v="2016-12-01T00:00:00"/>
    <d v="2016-12-01T00:00:00"/>
    <n v="1280000"/>
    <n v="27350.43"/>
    <n v="1"/>
    <s v="Ипотека"/>
    <s v="Квартира"/>
    <m/>
    <x v="14"/>
    <s v="Гафури"/>
    <n v="2"/>
    <n v="1"/>
    <n v="2000"/>
  </r>
  <r>
    <x v="70"/>
    <x v="140"/>
    <s v="Договор купли-продажи"/>
    <d v="2017-02-01T00:00:00"/>
    <d v="2017-02-01T00:00:00"/>
    <n v="1300000"/>
    <n v="27426.16"/>
    <n v="1"/>
    <s v="Ипотека"/>
    <s v="Квартира"/>
    <m/>
    <x v="14"/>
    <s v="Энергетиков"/>
    <n v="4"/>
    <n v="1"/>
    <n v="2009"/>
  </r>
  <r>
    <x v="73"/>
    <x v="14"/>
    <s v="Договор купли-продажи"/>
    <d v="2016-10-01T00:00:00"/>
    <d v="2016-11-01T00:00:00"/>
    <n v="900000"/>
    <n v="27777.78"/>
    <n v="1"/>
    <s v="Ипотека"/>
    <s v="Квартира"/>
    <m/>
    <x v="14"/>
    <s v="60 лет БАССР"/>
    <n v="2"/>
    <n v="1"/>
    <n v="2000"/>
  </r>
  <r>
    <x v="82"/>
    <x v="173"/>
    <s v="Договор купли-продажи"/>
    <d v="2017-02-01T00:00:00"/>
    <d v="2017-02-01T00:00:00"/>
    <n v="1200000"/>
    <n v="27777.78"/>
    <n v="1"/>
    <s v="Ипотека"/>
    <s v="Квартира"/>
    <m/>
    <x v="14"/>
    <s v="Карла Маркса"/>
    <n v="2"/>
    <n v="1"/>
    <n v="2005"/>
  </r>
  <r>
    <x v="82"/>
    <x v="174"/>
    <s v="Договор купли-продажи"/>
    <d v="2017-01-01T00:00:00"/>
    <d v="2017-01-01T00:00:00"/>
    <n v="2511265"/>
    <n v="27996.27"/>
    <n v="1"/>
    <s v="Ипотека"/>
    <s v="Квартира"/>
    <m/>
    <x v="14"/>
    <s v="Горького"/>
    <n v="2"/>
    <n v="1"/>
    <n v="2011"/>
  </r>
  <r>
    <x v="83"/>
    <x v="69"/>
    <s v="Договор купли-продажи"/>
    <d v="2017-03-01T00:00:00"/>
    <d v="2017-03-01T00:00:00"/>
    <n v="1250000"/>
    <n v="28216.7"/>
    <n v="1"/>
    <s v="Ипотека"/>
    <s v="Квартира"/>
    <m/>
    <x v="14"/>
    <s v="Искужина"/>
    <n v="1"/>
    <n v="1"/>
    <n v="2009"/>
  </r>
  <r>
    <x v="84"/>
    <x v="33"/>
    <s v="Договор купли-продажи"/>
    <d v="2016-10-01T00:00:00"/>
    <d v="2016-10-01T00:00:00"/>
    <n v="1440000"/>
    <n v="28290.77"/>
    <n v="1"/>
    <s v="Ипотека"/>
    <s v="Квартира"/>
    <m/>
    <x v="14"/>
    <s v="60 лет БАССР"/>
    <n v="4"/>
    <n v="1"/>
    <n v="2009"/>
  </r>
  <r>
    <x v="70"/>
    <x v="175"/>
    <s v="Договор купли-продажи"/>
    <d v="2016-10-01T00:00:00"/>
    <d v="2016-10-01T00:00:00"/>
    <n v="921600"/>
    <n v="28356.92"/>
    <n v="1"/>
    <s v="Ипотека"/>
    <s v="Квартира"/>
    <m/>
    <x v="14"/>
    <s v="Энергетиков"/>
    <n v="1"/>
    <n v="1"/>
    <n v="2008"/>
  </r>
  <r>
    <x v="70"/>
    <x v="176"/>
    <s v="Договор купли-продажи"/>
    <d v="2017-01-01T00:00:00"/>
    <d v="2017-01-01T00:00:00"/>
    <n v="1600000"/>
    <n v="28520.5"/>
    <n v="1"/>
    <s v="Ипотека"/>
    <s v="Квартира"/>
    <m/>
    <x v="14"/>
    <s v="Энергетиков"/>
    <n v="5"/>
    <n v="1"/>
    <n v="2012"/>
  </r>
  <r>
    <x v="85"/>
    <x v="58"/>
    <s v="Договор купли-продажи"/>
    <d v="2017-03-01T00:00:00"/>
    <d v="2017-03-01T00:00:00"/>
    <n v="852000"/>
    <n v="28590.6"/>
    <n v="1"/>
    <s v="Ипотека"/>
    <s v="Квартира"/>
    <m/>
    <x v="14"/>
    <m/>
    <n v="3"/>
    <n v="1"/>
    <n v="2012"/>
  </r>
  <r>
    <x v="77"/>
    <x v="78"/>
    <s v="Договор купли-продажи"/>
    <d v="2017-02-01T00:00:00"/>
    <d v="2017-02-01T00:00:00"/>
    <n v="1200000"/>
    <n v="28639.62"/>
    <n v="1"/>
    <s v="Ипотека"/>
    <s v="Квартира"/>
    <m/>
    <x v="14"/>
    <s v="Шахтостроительная"/>
    <n v="5"/>
    <n v="2"/>
    <n v="2007"/>
  </r>
  <r>
    <x v="77"/>
    <x v="78"/>
    <s v="Договор купли-продажи"/>
    <d v="2017-02-01T00:00:00"/>
    <d v="2017-02-01T00:00:00"/>
    <n v="1200000"/>
    <n v="28639.62"/>
    <n v="1"/>
    <s v="Ипотека"/>
    <s v="Квартира"/>
    <m/>
    <x v="14"/>
    <s v="Шахтостроительная"/>
    <n v="5"/>
    <n v="2"/>
    <n v="2007"/>
  </r>
  <r>
    <x v="71"/>
    <x v="133"/>
    <s v="Договор купли-продажи"/>
    <d v="2016-11-01T00:00:00"/>
    <d v="2016-11-01T00:00:00"/>
    <n v="920000"/>
    <n v="28840.13"/>
    <n v="1"/>
    <s v="Ипотека"/>
    <s v="Квартира"/>
    <m/>
    <x v="14"/>
    <s v="Лесная"/>
    <n v="5"/>
    <n v="1"/>
    <n v="2016"/>
  </r>
  <r>
    <x v="69"/>
    <x v="60"/>
    <s v="Договор купли-продажи"/>
    <d v="2016-12-01T00:00:00"/>
    <d v="2016-12-01T00:00:00"/>
    <n v="1280000"/>
    <n v="29157.18"/>
    <n v="1"/>
    <s v="Ипотека"/>
    <s v="Квартира"/>
    <m/>
    <x v="14"/>
    <s v="Окружная"/>
    <n v="1"/>
    <n v="1"/>
    <n v="2004"/>
  </r>
  <r>
    <x v="65"/>
    <x v="177"/>
    <s v="Договор купли-продажи"/>
    <d v="2017-03-01T00:00:00"/>
    <d v="2017-03-01T00:00:00"/>
    <n v="1840000"/>
    <n v="29252.78"/>
    <n v="1"/>
    <s v="Ипотека"/>
    <s v="Квартира"/>
    <m/>
    <x v="14"/>
    <s v="Советская"/>
    <n v="5"/>
    <n v="1"/>
    <n v="2014"/>
  </r>
  <r>
    <x v="69"/>
    <x v="178"/>
    <s v="Договор купли-продажи"/>
    <d v="2016-10-01T00:00:00"/>
    <d v="2016-10-01T00:00:00"/>
    <n v="880000"/>
    <n v="29431.439999999999"/>
    <n v="1"/>
    <s v="Ипотека"/>
    <s v="Квартира"/>
    <m/>
    <x v="14"/>
    <s v="Окружная"/>
    <n v="1"/>
    <n v="1"/>
    <n v="2007"/>
  </r>
  <r>
    <x v="72"/>
    <x v="179"/>
    <s v="Договор купли-продажи"/>
    <d v="2016-12-01T00:00:00"/>
    <d v="2016-12-01T00:00:00"/>
    <n v="2925000"/>
    <n v="29515.64"/>
    <n v="1"/>
    <s v="Ипотека"/>
    <s v="Квартира"/>
    <m/>
    <x v="14"/>
    <s v="Гафури"/>
    <n v="3"/>
    <n v="1"/>
    <n v="2008"/>
  </r>
  <r>
    <x v="77"/>
    <x v="180"/>
    <s v="Договор купли-продажи"/>
    <d v="2016-11-01T00:00:00"/>
    <d v="2016-11-01T00:00:00"/>
    <n v="1200000"/>
    <n v="29629.63"/>
    <n v="1"/>
    <s v="Ипотека"/>
    <s v="Квартира"/>
    <m/>
    <x v="14"/>
    <s v="Ленина"/>
    <n v="4"/>
    <n v="1"/>
    <n v="2008"/>
  </r>
  <r>
    <x v="70"/>
    <x v="59"/>
    <s v="Договор купли-продажи"/>
    <d v="2016-11-01T00:00:00"/>
    <d v="2016-11-01T00:00:00"/>
    <n v="1540000"/>
    <n v="29672.45"/>
    <n v="1"/>
    <s v="Ипотека"/>
    <s v="Квартира"/>
    <m/>
    <x v="14"/>
    <s v="Машиностроителей"/>
    <n v="2"/>
    <n v="1"/>
    <n v="2013"/>
  </r>
  <r>
    <x v="70"/>
    <x v="181"/>
    <s v="Договор купли-продажи"/>
    <d v="2017-02-01T00:00:00"/>
    <d v="2017-03-01T00:00:00"/>
    <n v="1200000"/>
    <n v="29702.97"/>
    <n v="1"/>
    <s v="Ипотека"/>
    <s v="Квартира"/>
    <m/>
    <x v="14"/>
    <s v="Энергетиков"/>
    <n v="5"/>
    <n v="1"/>
    <n v="2009"/>
  </r>
  <r>
    <x v="79"/>
    <x v="182"/>
    <s v="Договор купли-продажи"/>
    <d v="2016-11-01T00:00:00"/>
    <d v="2016-12-01T00:00:00"/>
    <n v="633780"/>
    <n v="29754.93"/>
    <n v="1"/>
    <s v="Ипотека"/>
    <s v="Квартира"/>
    <m/>
    <x v="14"/>
    <s v="Гафури"/>
    <n v="2"/>
    <n v="1"/>
    <n v="2012"/>
  </r>
  <r>
    <x v="77"/>
    <x v="183"/>
    <s v="Договор купли-продажи"/>
    <d v="2016-10-01T00:00:00"/>
    <d v="2016-10-01T00:00:00"/>
    <n v="1280000"/>
    <n v="29906.54"/>
    <n v="1"/>
    <s v="Ипотека"/>
    <s v="Квартира"/>
    <m/>
    <x v="14"/>
    <s v="Горького"/>
    <n v="2"/>
    <n v="1"/>
    <n v="2007"/>
  </r>
  <r>
    <x v="72"/>
    <x v="184"/>
    <s v="Договор купли-продажи"/>
    <d v="2017-03-01T00:00:00"/>
    <d v="2017-03-01T00:00:00"/>
    <n v="1200000"/>
    <n v="30150.75"/>
    <n v="1"/>
    <s v="Ипотека"/>
    <s v="Квартира"/>
    <m/>
    <x v="14"/>
    <m/>
    <n v="1"/>
    <n v="1"/>
    <n v="2006"/>
  </r>
  <r>
    <x v="68"/>
    <x v="185"/>
    <s v="Договор купли-продажи"/>
    <d v="2017-03-01T00:00:00"/>
    <d v="2017-03-01T00:00:00"/>
    <n v="1800000"/>
    <n v="30354.13"/>
    <n v="1"/>
    <s v="Ипотека"/>
    <s v="Квартира"/>
    <m/>
    <x v="14"/>
    <s v="Энергетиков"/>
    <n v="3"/>
    <n v="1"/>
    <n v="2006"/>
  </r>
  <r>
    <x v="69"/>
    <x v="186"/>
    <s v="Договор купли-продажи"/>
    <d v="2016-11-01T00:00:00"/>
    <d v="2016-11-01T00:00:00"/>
    <n v="1200000"/>
    <n v="30379.75"/>
    <n v="1"/>
    <s v="Ипотека"/>
    <s v="Квартира"/>
    <m/>
    <x v="14"/>
    <s v="Окружная"/>
    <n v="1"/>
    <n v="1"/>
    <n v="2011"/>
  </r>
  <r>
    <x v="65"/>
    <x v="187"/>
    <s v="Договор купли-продажи"/>
    <d v="2016-12-01T00:00:00"/>
    <d v="2016-12-01T00:00:00"/>
    <n v="1350000"/>
    <n v="30542.99"/>
    <n v="1"/>
    <s v="Ипотека"/>
    <s v="Квартира"/>
    <m/>
    <x v="14"/>
    <s v="Ленина"/>
    <n v="2"/>
    <n v="1"/>
    <n v="2010"/>
  </r>
  <r>
    <x v="86"/>
    <x v="188"/>
    <s v="Договор купли-продажи"/>
    <d v="2017-01-01T00:00:00"/>
    <d v="2017-01-01T00:00:00"/>
    <n v="1480000"/>
    <n v="30641.82"/>
    <n v="1"/>
    <s v="Ипотека"/>
    <s v="Квартира"/>
    <m/>
    <x v="14"/>
    <s v="Салавата"/>
    <n v="5"/>
    <n v="1"/>
    <n v="2004"/>
  </r>
  <r>
    <x v="72"/>
    <x v="189"/>
    <s v="Договор купли-продажи"/>
    <d v="2017-02-01T00:00:00"/>
    <d v="2017-02-01T00:00:00"/>
    <n v="1600000"/>
    <n v="30769.23"/>
    <n v="1"/>
    <s v="Ипотека"/>
    <s v="Квартира"/>
    <m/>
    <x v="14"/>
    <s v="Салавата"/>
    <n v="4"/>
    <n v="1"/>
    <n v="2005"/>
  </r>
  <r>
    <x v="87"/>
    <x v="190"/>
    <s v="Договор купли-продажи"/>
    <d v="2017-03-01T00:00:00"/>
    <d v="2017-03-01T00:00:00"/>
    <n v="1400000"/>
    <n v="30769.23"/>
    <n v="1"/>
    <s v="Ипотека"/>
    <s v="Квартира"/>
    <m/>
    <x v="14"/>
    <s v="Ломоносова"/>
    <n v="4"/>
    <n v="1"/>
    <n v="2006"/>
  </r>
  <r>
    <x v="83"/>
    <x v="191"/>
    <s v="Договор купли-продажи"/>
    <d v="2016-11-01T00:00:00"/>
    <d v="2016-12-01T00:00:00"/>
    <n v="3068000"/>
    <n v="30896.27"/>
    <n v="1"/>
    <s v="Ипотека"/>
    <s v="Помещение"/>
    <m/>
    <x v="14"/>
    <s v="Худайбердина"/>
    <m/>
    <n v="1"/>
    <n v="2016"/>
  </r>
  <r>
    <x v="88"/>
    <x v="63"/>
    <s v="Договор купли-продажи"/>
    <d v="2017-03-01T00:00:00"/>
    <d v="2017-03-01T00:00:00"/>
    <n v="1560000"/>
    <n v="31013.919999999998"/>
    <n v="1"/>
    <s v="Ипотека"/>
    <s v="Квартира"/>
    <m/>
    <x v="14"/>
    <s v="40 лет Победы"/>
    <n v="3"/>
    <n v="1"/>
    <n v="2012"/>
  </r>
  <r>
    <x v="73"/>
    <x v="192"/>
    <s v="Договор купли-продажи"/>
    <d v="2017-02-01T00:00:00"/>
    <d v="2017-03-01T00:00:00"/>
    <n v="1528000"/>
    <n v="31570.25"/>
    <n v="1"/>
    <s v="Ипотека"/>
    <s v="Квартира"/>
    <m/>
    <x v="14"/>
    <s v="60 лет БАССР"/>
    <n v="2"/>
    <n v="1"/>
    <n v="2017"/>
  </r>
  <r>
    <x v="89"/>
    <x v="193"/>
    <s v="Договор купли-продажи"/>
    <d v="2016-11-01T00:00:00"/>
    <d v="2016-11-01T00:00:00"/>
    <n v="1520000"/>
    <n v="31932.77"/>
    <n v="1"/>
    <s v="Ипотека"/>
    <s v="Квартира"/>
    <m/>
    <x v="14"/>
    <s v="60 лет БАССР"/>
    <n v="1"/>
    <n v="1"/>
    <n v="2002"/>
  </r>
  <r>
    <x v="67"/>
    <x v="101"/>
    <s v="Договор купли-продажи"/>
    <d v="2016-12-01T00:00:00"/>
    <d v="2016-12-01T00:00:00"/>
    <n v="1910000"/>
    <n v="31993.3"/>
    <n v="1"/>
    <s v="Ипотека"/>
    <s v="Квартира"/>
    <m/>
    <x v="14"/>
    <s v="Горького"/>
    <n v="5"/>
    <n v="2"/>
    <n v="2016"/>
  </r>
  <r>
    <x v="67"/>
    <x v="101"/>
    <s v="Договор купли-продажи"/>
    <d v="2016-12-01T00:00:00"/>
    <d v="2016-12-01T00:00:00"/>
    <n v="1910000"/>
    <n v="31993.3"/>
    <n v="1"/>
    <s v="Ипотека"/>
    <s v="Квартира"/>
    <m/>
    <x v="14"/>
    <s v="Горького"/>
    <n v="5"/>
    <n v="2"/>
    <n v="2016"/>
  </r>
  <r>
    <x v="70"/>
    <x v="194"/>
    <s v="Договор купли-продажи"/>
    <d v="2016-12-01T00:00:00"/>
    <d v="2016-12-01T00:00:00"/>
    <n v="1615000"/>
    <n v="33026.58"/>
    <n v="1"/>
    <s v="Ипотека"/>
    <s v="Квартира"/>
    <m/>
    <x v="14"/>
    <s v="Энергетиков"/>
    <n v="4"/>
    <n v="1"/>
    <n v="2002"/>
  </r>
  <r>
    <x v="90"/>
    <x v="195"/>
    <s v="Договор купли-продажи"/>
    <d v="2017-01-01T00:00:00"/>
    <d v="2017-02-01T00:00:00"/>
    <n v="1710000"/>
    <n v="33075.440000000002"/>
    <n v="1"/>
    <s v="Ипотека"/>
    <s v="Квартира"/>
    <m/>
    <x v="14"/>
    <s v="Худайбердина"/>
    <n v="3"/>
    <n v="1"/>
    <n v="2008"/>
  </r>
  <r>
    <x v="70"/>
    <x v="196"/>
    <s v="Договор купли-продажи"/>
    <d v="2017-01-01T00:00:00"/>
    <d v="2017-01-01T00:00:00"/>
    <n v="2100000"/>
    <n v="34710.74"/>
    <n v="1"/>
    <s v="Ипотека"/>
    <s v="Квартира"/>
    <m/>
    <x v="14"/>
    <s v="Машиностроителей"/>
    <n v="3"/>
    <n v="2"/>
    <n v="2005"/>
  </r>
  <r>
    <x v="70"/>
    <x v="196"/>
    <s v="Договор купли-продажи"/>
    <d v="2017-01-01T00:00:00"/>
    <d v="2017-01-01T00:00:00"/>
    <n v="2100000"/>
    <n v="34710.74"/>
    <n v="1"/>
    <s v="Ипотека"/>
    <s v="Квартира"/>
    <m/>
    <x v="14"/>
    <s v="Машиностроителей"/>
    <n v="3"/>
    <n v="2"/>
    <n v="2005"/>
  </r>
  <r>
    <x v="86"/>
    <x v="192"/>
    <s v="Договор купли-продажи"/>
    <d v="2016-11-01T00:00:00"/>
    <d v="2016-11-01T00:00:00"/>
    <n v="1700000"/>
    <n v="35123.97"/>
    <n v="1"/>
    <s v="Ипотека"/>
    <s v="Квартира"/>
    <m/>
    <x v="14"/>
    <s v="Салавата"/>
    <n v="4"/>
    <n v="2"/>
    <n v="2006"/>
  </r>
  <r>
    <x v="86"/>
    <x v="192"/>
    <s v="Договор купли-продажи"/>
    <d v="2016-11-01T00:00:00"/>
    <d v="2016-11-01T00:00:00"/>
    <n v="1700000"/>
    <n v="35123.97"/>
    <n v="1"/>
    <s v="Ипотека"/>
    <s v="Квартира"/>
    <m/>
    <x v="14"/>
    <s v="Салавата"/>
    <n v="4"/>
    <n v="2"/>
    <n v="2006"/>
  </r>
  <r>
    <x v="69"/>
    <x v="58"/>
    <s v="Договор купли-продажи"/>
    <d v="2016-09-01T00:00:00"/>
    <d v="2016-10-01T00:00:00"/>
    <n v="1100000"/>
    <n v="36912.75"/>
    <n v="1"/>
    <s v="Ипотека"/>
    <s v="Квартира"/>
    <m/>
    <x v="14"/>
    <s v="Окружная"/>
    <n v="5"/>
    <n v="1"/>
    <n v="2005"/>
  </r>
  <r>
    <x v="91"/>
    <x v="197"/>
    <s v="Договор купли-продажи"/>
    <d v="2016-12-01T00:00:00"/>
    <d v="2016-12-01T00:00:00"/>
    <n v="1000000"/>
    <n v="16025.64"/>
    <n v="1"/>
    <s v="Ипотека"/>
    <s v="Помещение"/>
    <s v="Мелеузовский"/>
    <x v="15"/>
    <s v="Бурангулова"/>
    <n v="5"/>
    <n v="1"/>
    <n v="2016"/>
  </r>
  <r>
    <x v="92"/>
    <x v="198"/>
    <s v="Договор купли-продажи"/>
    <d v="2016-11-01T00:00:00"/>
    <d v="2016-11-01T00:00:00"/>
    <n v="500000"/>
    <n v="16611.3"/>
    <n v="1"/>
    <s v="Ипотека"/>
    <s v="Квартира"/>
    <s v="Мелеузовский"/>
    <x v="15"/>
    <m/>
    <n v="2"/>
    <n v="1"/>
    <n v="2005"/>
  </r>
  <r>
    <x v="92"/>
    <x v="199"/>
    <s v="Договор купли-продажи"/>
    <d v="2016-10-01T00:00:00"/>
    <d v="2016-10-01T00:00:00"/>
    <n v="1100000"/>
    <n v="16923.080000000002"/>
    <n v="1"/>
    <s v="Ипотека"/>
    <s v="Квартира"/>
    <s v="Мелеузовский"/>
    <x v="15"/>
    <m/>
    <n v="2"/>
    <n v="2"/>
    <n v="2007"/>
  </r>
  <r>
    <x v="92"/>
    <x v="199"/>
    <s v="Договор купли-продажи"/>
    <d v="2016-10-01T00:00:00"/>
    <d v="2016-10-01T00:00:00"/>
    <n v="1100000"/>
    <n v="16923.080000000002"/>
    <n v="1"/>
    <s v="Ипотека"/>
    <s v="Квартира"/>
    <s v="Мелеузовский"/>
    <x v="15"/>
    <m/>
    <n v="2"/>
    <n v="2"/>
    <n v="2007"/>
  </r>
  <r>
    <x v="92"/>
    <x v="3"/>
    <s v="Договор купли-продажи"/>
    <d v="2016-12-01T00:00:00"/>
    <d v="2016-12-01T00:00:00"/>
    <n v="600000"/>
    <n v="16997.169999999998"/>
    <n v="1"/>
    <s v="Ипотека"/>
    <s v="Квартира"/>
    <s v="Мелеузовский"/>
    <x v="15"/>
    <m/>
    <n v="4"/>
    <n v="1"/>
    <n v="2004"/>
  </r>
  <r>
    <x v="92"/>
    <x v="24"/>
    <s v="Договор купли-продажи"/>
    <d v="2016-11-01T00:00:00"/>
    <d v="2016-11-01T00:00:00"/>
    <n v="770000"/>
    <n v="16997.79"/>
    <n v="1"/>
    <s v="Ипотека"/>
    <s v="Помещение"/>
    <s v="Мелеузовский"/>
    <x v="15"/>
    <m/>
    <n v="5"/>
    <n v="1"/>
    <n v="1999"/>
  </r>
  <r>
    <x v="92"/>
    <x v="8"/>
    <s v="Договор купли-продажи"/>
    <d v="2017-02-01T00:00:00"/>
    <d v="2017-03-01T00:00:00"/>
    <n v="800000"/>
    <n v="17167.38"/>
    <n v="1"/>
    <s v="Ипотека"/>
    <s v="Квартира"/>
    <s v="Мелеузовский"/>
    <x v="15"/>
    <m/>
    <n v="9"/>
    <n v="2"/>
    <n v="2010"/>
  </r>
  <r>
    <x v="92"/>
    <x v="8"/>
    <s v="Договор купли-продажи"/>
    <d v="2017-02-01T00:00:00"/>
    <d v="2017-03-01T00:00:00"/>
    <n v="800000"/>
    <n v="17167.38"/>
    <n v="1"/>
    <s v="Ипотека"/>
    <s v="Квартира"/>
    <s v="Мелеузовский"/>
    <x v="15"/>
    <m/>
    <n v="9"/>
    <n v="2"/>
    <n v="2010"/>
  </r>
  <r>
    <x v="93"/>
    <x v="168"/>
    <s v="Договор купли-продажи"/>
    <d v="2017-02-01T00:00:00"/>
    <d v="2017-03-01T00:00:00"/>
    <n v="800000"/>
    <n v="17278.62"/>
    <n v="1"/>
    <s v="Ипотека"/>
    <s v="Квартира"/>
    <s v="Мелеузовский"/>
    <x v="15"/>
    <s v="Первомайская"/>
    <n v="1"/>
    <n v="2"/>
    <n v="2010"/>
  </r>
  <r>
    <x v="93"/>
    <x v="168"/>
    <s v="Договор купли-продажи"/>
    <d v="2017-02-01T00:00:00"/>
    <d v="2017-03-01T00:00:00"/>
    <n v="800000"/>
    <n v="17278.62"/>
    <n v="1"/>
    <s v="Ипотека"/>
    <s v="Квартира"/>
    <s v="Мелеузовский"/>
    <x v="15"/>
    <s v="Первомайская"/>
    <n v="1"/>
    <n v="2"/>
    <n v="2010"/>
  </r>
  <r>
    <x v="92"/>
    <x v="200"/>
    <s v="Договор купли-продажи"/>
    <d v="2016-12-01T00:00:00"/>
    <d v="2016-12-01T00:00:00"/>
    <n v="750000"/>
    <n v="17441.86"/>
    <n v="1"/>
    <s v="Ипотека"/>
    <s v="Квартира"/>
    <s v="Мелеузовский"/>
    <x v="15"/>
    <m/>
    <n v="5"/>
    <n v="2"/>
    <n v="2004"/>
  </r>
  <r>
    <x v="92"/>
    <x v="200"/>
    <s v="Договор купли-продажи"/>
    <d v="2016-12-01T00:00:00"/>
    <d v="2016-12-01T00:00:00"/>
    <n v="750000"/>
    <n v="17441.86"/>
    <n v="1"/>
    <s v="Ипотека"/>
    <s v="Квартира"/>
    <s v="Мелеузовский"/>
    <x v="15"/>
    <m/>
    <n v="5"/>
    <n v="2"/>
    <n v="2004"/>
  </r>
  <r>
    <x v="94"/>
    <x v="201"/>
    <s v="Договор купли-продажи"/>
    <d v="2016-11-01T00:00:00"/>
    <d v="2016-11-01T00:00:00"/>
    <n v="628000"/>
    <n v="17493.04"/>
    <n v="1"/>
    <s v="Ипотека"/>
    <s v="Квартира"/>
    <s v="Мелеузовский"/>
    <x v="15"/>
    <m/>
    <n v="3"/>
    <n v="1"/>
    <n v="2004"/>
  </r>
  <r>
    <x v="92"/>
    <x v="202"/>
    <s v="Договор купли-продажи"/>
    <d v="2017-02-01T00:00:00"/>
    <d v="2017-02-01T00:00:00"/>
    <n v="300000"/>
    <n v="17647.060000000001"/>
    <n v="1"/>
    <s v="Ипотека"/>
    <s v="Квартира"/>
    <s v="Мелеузовский"/>
    <x v="15"/>
    <m/>
    <n v="1"/>
    <n v="1"/>
    <n v="2008"/>
  </r>
  <r>
    <x v="95"/>
    <x v="95"/>
    <s v="Договор купли-продажи"/>
    <d v="2016-12-01T00:00:00"/>
    <d v="2016-12-01T00:00:00"/>
    <n v="700000"/>
    <n v="17948.72"/>
    <n v="1"/>
    <s v="Ипотека"/>
    <s v="Квартира"/>
    <s v="Мелеузовский"/>
    <x v="15"/>
    <s v="Октябрьская"/>
    <n v="5"/>
    <n v="1"/>
    <n v="2006"/>
  </r>
  <r>
    <x v="96"/>
    <x v="203"/>
    <s v="Договор купли-продажи"/>
    <d v="2017-03-01T00:00:00"/>
    <d v="2017-03-01T00:00:00"/>
    <n v="1144000"/>
    <n v="18571.43"/>
    <n v="1"/>
    <s v="Ипотека"/>
    <s v="Квартира"/>
    <s v="Мелеузовский"/>
    <x v="15"/>
    <s v="Техническая"/>
    <n v="2"/>
    <n v="2"/>
    <n v="2007"/>
  </r>
  <r>
    <x v="96"/>
    <x v="203"/>
    <s v="Договор купли-продажи"/>
    <d v="2017-03-01T00:00:00"/>
    <d v="2017-03-01T00:00:00"/>
    <n v="1144000"/>
    <n v="18571.43"/>
    <n v="1"/>
    <s v="Ипотека"/>
    <s v="Квартира"/>
    <s v="Мелеузовский"/>
    <x v="15"/>
    <s v="Техническая"/>
    <n v="2"/>
    <n v="2"/>
    <n v="2007"/>
  </r>
  <r>
    <x v="92"/>
    <x v="11"/>
    <s v="Договор купли-продажи"/>
    <d v="2017-02-01T00:00:00"/>
    <d v="2017-02-01T00:00:00"/>
    <n v="1150000"/>
    <n v="18608.41"/>
    <n v="1"/>
    <s v="Ипотека"/>
    <s v="Квартира"/>
    <s v="Мелеузовский"/>
    <x v="15"/>
    <m/>
    <n v="3"/>
    <n v="1"/>
    <n v="2000"/>
  </r>
  <r>
    <x v="91"/>
    <x v="204"/>
    <s v="Договор купли-продажи"/>
    <d v="2016-12-01T00:00:00"/>
    <d v="2016-12-01T00:00:00"/>
    <n v="1585000"/>
    <n v="18625.150000000001"/>
    <n v="1"/>
    <s v="Ипотека"/>
    <s v="Квартира"/>
    <s v="Мелеузовский"/>
    <x v="15"/>
    <s v="Бурангулова"/>
    <n v="4"/>
    <n v="2"/>
    <n v="2016"/>
  </r>
  <r>
    <x v="91"/>
    <x v="204"/>
    <s v="Договор купли-продажи"/>
    <d v="2016-12-01T00:00:00"/>
    <d v="2016-12-01T00:00:00"/>
    <n v="1585000"/>
    <n v="18625.150000000001"/>
    <n v="1"/>
    <s v="Ипотека"/>
    <s v="Квартира"/>
    <s v="Мелеузовский"/>
    <x v="15"/>
    <s v="Бурангулова"/>
    <n v="4"/>
    <n v="2"/>
    <n v="2016"/>
  </r>
  <r>
    <x v="92"/>
    <x v="205"/>
    <s v="Договор купли-продажи"/>
    <d v="2016-12-01T00:00:00"/>
    <d v="2016-12-01T00:00:00"/>
    <n v="1200000"/>
    <n v="18691.59"/>
    <n v="1"/>
    <s v="Ипотека"/>
    <s v="Помещение"/>
    <s v="Мелеузовский"/>
    <x v="15"/>
    <s v="31-й"/>
    <n v="2"/>
    <n v="1"/>
    <n v="2016"/>
  </r>
  <r>
    <x v="97"/>
    <x v="206"/>
    <s v="Договор купли-продажи"/>
    <d v="2017-02-01T00:00:00"/>
    <d v="2017-02-01T00:00:00"/>
    <n v="940000"/>
    <n v="18875.5"/>
    <n v="1"/>
    <s v="Ипотека"/>
    <s v="Квартира"/>
    <s v="Мелеузовский"/>
    <x v="15"/>
    <s v="50 лет ВЛКСМ"/>
    <n v="3"/>
    <n v="2"/>
    <n v="2002"/>
  </r>
  <r>
    <x v="97"/>
    <x v="206"/>
    <s v="Договор купли-продажи"/>
    <d v="2017-02-01T00:00:00"/>
    <d v="2017-02-01T00:00:00"/>
    <n v="940000"/>
    <n v="18875.5"/>
    <n v="1"/>
    <s v="Ипотека"/>
    <s v="Квартира"/>
    <s v="Мелеузовский"/>
    <x v="15"/>
    <s v="50 лет ВЛКСМ"/>
    <n v="3"/>
    <n v="2"/>
    <n v="2002"/>
  </r>
  <r>
    <x v="98"/>
    <x v="113"/>
    <s v="Договор купли-продажи"/>
    <d v="2016-12-01T00:00:00"/>
    <d v="2016-12-01T00:00:00"/>
    <n v="749500"/>
    <n v="18926.77"/>
    <n v="1"/>
    <s v="Ипотека"/>
    <s v="Квартира"/>
    <s v="Мелеузовский"/>
    <x v="15"/>
    <m/>
    <n v="2"/>
    <n v="1"/>
    <n v="2016"/>
  </r>
  <r>
    <x v="99"/>
    <x v="207"/>
    <s v="Договор купли-продажи"/>
    <d v="2016-12-01T00:00:00"/>
    <d v="2016-12-01T00:00:00"/>
    <n v="1571184.32"/>
    <n v="19278.34"/>
    <n v="1"/>
    <s v="Ипотека"/>
    <s v="Квартира"/>
    <s v="Мелеузовский"/>
    <x v="15"/>
    <s v="Правды"/>
    <n v="4"/>
    <n v="1"/>
    <n v="2003"/>
  </r>
  <r>
    <x v="94"/>
    <x v="208"/>
    <s v="Договор купли-продажи"/>
    <d v="2016-10-01T00:00:00"/>
    <d v="2016-10-01T00:00:00"/>
    <n v="700000"/>
    <n v="19337.02"/>
    <n v="1"/>
    <s v="Ипотека"/>
    <s v="Помещение"/>
    <s v="Мелеузовский"/>
    <x v="15"/>
    <s v="Октябрьская"/>
    <n v="1"/>
    <n v="1"/>
    <n v="2014"/>
  </r>
  <r>
    <x v="98"/>
    <x v="143"/>
    <s v="Договор купли-продажи"/>
    <d v="2017-02-01T00:00:00"/>
    <d v="2017-02-01T00:00:00"/>
    <n v="1100000"/>
    <n v="20000"/>
    <n v="1"/>
    <s v="Ипотека"/>
    <s v="Квартира"/>
    <s v="Мелеузовский"/>
    <x v="15"/>
    <m/>
    <n v="2"/>
    <n v="1"/>
    <n v="2017"/>
  </r>
  <r>
    <x v="93"/>
    <x v="87"/>
    <s v="Договор купли-продажи"/>
    <d v="2016-10-01T00:00:00"/>
    <d v="2016-10-01T00:00:00"/>
    <n v="1000000"/>
    <n v="20120.72"/>
    <n v="1"/>
    <s v="Ипотека"/>
    <s v="Квартира"/>
    <s v="Мелеузовский"/>
    <x v="15"/>
    <s v="Смоленская"/>
    <n v="7"/>
    <n v="1"/>
    <n v="2002"/>
  </r>
  <r>
    <x v="92"/>
    <x v="209"/>
    <s v="Договор купли-продажи"/>
    <d v="2016-12-01T00:00:00"/>
    <d v="2016-12-01T00:00:00"/>
    <n v="1300000"/>
    <n v="20123.84"/>
    <n v="1"/>
    <s v="Ипотека"/>
    <s v="Квартира"/>
    <s v="Мелеузовский"/>
    <x v="15"/>
    <m/>
    <n v="1"/>
    <n v="1"/>
    <n v="2005"/>
  </r>
  <r>
    <x v="96"/>
    <x v="82"/>
    <s v="Договор купли-продажи"/>
    <d v="2017-02-01T00:00:00"/>
    <d v="2017-02-01T00:00:00"/>
    <n v="1180000"/>
    <n v="20136.52"/>
    <n v="1"/>
    <s v="Ипотека"/>
    <s v="Квартира"/>
    <s v="Мелеузовский"/>
    <x v="15"/>
    <s v="Техническая"/>
    <n v="2"/>
    <n v="1"/>
    <n v="2007"/>
  </r>
  <r>
    <x v="92"/>
    <x v="210"/>
    <s v="Договор купли-продажи"/>
    <d v="2017-02-01T00:00:00"/>
    <d v="2017-02-01T00:00:00"/>
    <n v="739000"/>
    <n v="20527.78"/>
    <n v="1"/>
    <s v="Ипотека"/>
    <s v="Квартира"/>
    <s v="Мелеузовский"/>
    <x v="15"/>
    <m/>
    <n v="5"/>
    <n v="1"/>
    <n v="2004"/>
  </r>
  <r>
    <x v="94"/>
    <x v="24"/>
    <s v="Договор купли-продажи"/>
    <d v="2016-12-01T00:00:00"/>
    <d v="2016-12-01T00:00:00"/>
    <n v="930000"/>
    <n v="20529.8"/>
    <n v="1"/>
    <s v="Ипотека"/>
    <s v="Квартира"/>
    <s v="Мелеузовский"/>
    <x v="15"/>
    <m/>
    <n v="6"/>
    <n v="1"/>
    <n v="2003"/>
  </r>
  <r>
    <x v="91"/>
    <x v="43"/>
    <s v="Договор купли-продажи"/>
    <d v="2016-11-01T00:00:00"/>
    <d v="2016-12-01T00:00:00"/>
    <n v="750000"/>
    <n v="20547.95"/>
    <n v="1"/>
    <s v="Ипотека"/>
    <s v="Помещение"/>
    <s v="Мелеузовский"/>
    <x v="15"/>
    <s v="Колхозная"/>
    <n v="1"/>
    <n v="2"/>
    <n v="2007"/>
  </r>
  <r>
    <x v="91"/>
    <x v="43"/>
    <s v="Договор купли-продажи"/>
    <d v="2016-11-01T00:00:00"/>
    <d v="2016-12-01T00:00:00"/>
    <n v="750000"/>
    <n v="20547.95"/>
    <n v="1"/>
    <s v="Ипотека"/>
    <s v="Помещение"/>
    <s v="Мелеузовский"/>
    <x v="15"/>
    <s v="Колхозная"/>
    <n v="1"/>
    <n v="2"/>
    <n v="2007"/>
  </r>
  <r>
    <x v="97"/>
    <x v="211"/>
    <s v="Договор купли-продажи"/>
    <d v="2016-11-01T00:00:00"/>
    <d v="2016-11-01T00:00:00"/>
    <n v="1040000"/>
    <n v="21095.33"/>
    <n v="1"/>
    <s v="Ипотека"/>
    <s v="Квартира"/>
    <s v="Мелеузовский"/>
    <x v="15"/>
    <s v="50 лет ВЛКСМ"/>
    <n v="5"/>
    <n v="1"/>
    <n v="2005"/>
  </r>
  <r>
    <x v="92"/>
    <x v="67"/>
    <s v="Договор купли-продажи"/>
    <d v="2016-12-01T00:00:00"/>
    <d v="2016-12-01T00:00:00"/>
    <n v="970000"/>
    <n v="21460.18"/>
    <n v="1"/>
    <s v="Ипотека"/>
    <s v="Квартира"/>
    <s v="Мелеузовский"/>
    <x v="15"/>
    <s v="32-й"/>
    <n v="5"/>
    <n v="1"/>
    <n v="2015"/>
  </r>
  <r>
    <x v="94"/>
    <x v="212"/>
    <s v="Договор купли-продажи"/>
    <d v="2017-02-01T00:00:00"/>
    <d v="2017-03-01T00:00:00"/>
    <n v="1450000"/>
    <n v="21481.48"/>
    <n v="1"/>
    <s v="Ипотека"/>
    <s v="Квартира"/>
    <s v="Мелеузовский"/>
    <x v="15"/>
    <m/>
    <n v="6"/>
    <n v="2"/>
    <n v="2000"/>
  </r>
  <r>
    <x v="94"/>
    <x v="212"/>
    <s v="Договор купли-продажи"/>
    <d v="2017-02-01T00:00:00"/>
    <d v="2017-03-01T00:00:00"/>
    <n v="1450000"/>
    <n v="21481.48"/>
    <n v="1"/>
    <s v="Ипотека"/>
    <s v="Квартира"/>
    <s v="Мелеузовский"/>
    <x v="15"/>
    <m/>
    <n v="6"/>
    <n v="2"/>
    <n v="2000"/>
  </r>
  <r>
    <x v="100"/>
    <x v="213"/>
    <s v="Договор купли-продажи"/>
    <d v="2016-11-01T00:00:00"/>
    <d v="2016-12-01T00:00:00"/>
    <n v="1275000"/>
    <n v="22097.05"/>
    <n v="1"/>
    <s v="Ипотека"/>
    <s v="Квартира"/>
    <s v="Мелеузовский"/>
    <x v="15"/>
    <m/>
    <n v="4"/>
    <n v="2"/>
    <n v="2000"/>
  </r>
  <r>
    <x v="100"/>
    <x v="213"/>
    <s v="Договор купли-продажи"/>
    <d v="2016-11-01T00:00:00"/>
    <d v="2016-12-01T00:00:00"/>
    <n v="1275000"/>
    <n v="22097.05"/>
    <n v="1"/>
    <s v="Ипотека"/>
    <s v="Квартира"/>
    <s v="Мелеузовский"/>
    <x v="15"/>
    <m/>
    <n v="4"/>
    <n v="2"/>
    <n v="2000"/>
  </r>
  <r>
    <x v="101"/>
    <x v="214"/>
    <s v="Договор купли-продажи"/>
    <d v="2017-01-01T00:00:00"/>
    <d v="2017-01-01T00:00:00"/>
    <n v="1224000"/>
    <n v="22173.91"/>
    <n v="1"/>
    <s v="Ипотека"/>
    <s v="Квартира"/>
    <s v="Мелеузовский"/>
    <x v="15"/>
    <s v="Смоленская"/>
    <n v="4"/>
    <n v="1"/>
    <n v="2006"/>
  </r>
  <r>
    <x v="92"/>
    <x v="12"/>
    <s v="Договор купли-продажи"/>
    <d v="2016-12-01T00:00:00"/>
    <d v="2016-12-01T00:00:00"/>
    <n v="1040000"/>
    <n v="22269.81"/>
    <n v="1"/>
    <s v="Ипотека"/>
    <s v="Помещение"/>
    <s v="Мелеузовский"/>
    <x v="15"/>
    <m/>
    <n v="9"/>
    <n v="1"/>
    <n v="2001"/>
  </r>
  <r>
    <x v="93"/>
    <x v="56"/>
    <s v="Договор купли-продажи"/>
    <d v="2017-03-01T00:00:00"/>
    <d v="2017-03-01T00:00:00"/>
    <n v="650000"/>
    <n v="22491.35"/>
    <n v="1"/>
    <s v="Ипотека"/>
    <s v="Квартира"/>
    <s v="Мелеузовский"/>
    <x v="15"/>
    <s v="Цюрупы"/>
    <n v="3"/>
    <n v="1"/>
    <n v="2012"/>
  </r>
  <r>
    <x v="102"/>
    <x v="215"/>
    <s v="Договор купли-продажи"/>
    <d v="2017-01-01T00:00:00"/>
    <d v="2017-01-01T00:00:00"/>
    <n v="1000000"/>
    <n v="22675.74"/>
    <n v="1"/>
    <s v="Ипотека"/>
    <s v="Квартира"/>
    <s v="Мелеузовский"/>
    <x v="15"/>
    <s v="Октябрьская"/>
    <n v="2"/>
    <n v="1"/>
    <n v="2001"/>
  </r>
  <r>
    <x v="100"/>
    <x v="216"/>
    <s v="Договор купли-продажи"/>
    <d v="2017-03-01T00:00:00"/>
    <d v="2017-03-01T00:00:00"/>
    <n v="800000"/>
    <n v="22727.27"/>
    <n v="1"/>
    <s v="Ипотека"/>
    <s v="Квартира"/>
    <s v="Мелеузовский"/>
    <x v="15"/>
    <s v="Первомайская"/>
    <n v="4"/>
    <n v="1"/>
    <n v="2005"/>
  </r>
  <r>
    <x v="92"/>
    <x v="199"/>
    <s v="Договор купли-продажи"/>
    <d v="2016-12-01T00:00:00"/>
    <d v="2016-12-01T00:00:00"/>
    <n v="1487000"/>
    <n v="22876.92"/>
    <n v="1"/>
    <s v="Ипотека"/>
    <s v="Квартира"/>
    <s v="Мелеузовский"/>
    <x v="15"/>
    <m/>
    <n v="1"/>
    <n v="1"/>
    <n v="2001"/>
  </r>
  <r>
    <x v="103"/>
    <x v="217"/>
    <s v="Договор купли-продажи"/>
    <d v="2017-02-01T00:00:00"/>
    <d v="2017-03-01T00:00:00"/>
    <n v="1232000"/>
    <n v="23201.51"/>
    <n v="1"/>
    <s v="Ипотека"/>
    <s v="Квартира"/>
    <s v="Мелеузовский"/>
    <x v="15"/>
    <s v="Шахтерская"/>
    <n v="2"/>
    <n v="1"/>
    <n v="2005"/>
  </r>
  <r>
    <x v="92"/>
    <x v="29"/>
    <s v="Договор купли-продажи"/>
    <d v="2016-11-01T00:00:00"/>
    <d v="2016-11-01T00:00:00"/>
    <n v="1100000"/>
    <n v="23305.08"/>
    <n v="1"/>
    <s v="Ипотека"/>
    <s v="Помещение"/>
    <s v="Мелеузовский"/>
    <x v="15"/>
    <m/>
    <n v="4"/>
    <n v="1"/>
    <n v="2008"/>
  </r>
  <r>
    <x v="95"/>
    <x v="218"/>
    <s v="Договор купли-продажи"/>
    <d v="2016-11-01T00:00:00"/>
    <d v="2016-11-01T00:00:00"/>
    <n v="592000"/>
    <n v="23492.06"/>
    <n v="1"/>
    <s v="Ипотека"/>
    <s v="Помещение"/>
    <s v="Мелеузовский"/>
    <x v="15"/>
    <s v="Октябрьская"/>
    <n v="2"/>
    <n v="1"/>
    <n v="2005"/>
  </r>
  <r>
    <x v="98"/>
    <x v="219"/>
    <s v="Договор купли-продажи"/>
    <d v="2016-12-01T00:00:00"/>
    <d v="2016-12-01T00:00:00"/>
    <n v="1300000"/>
    <n v="23593.47"/>
    <n v="1"/>
    <s v="Ипотека"/>
    <s v="Квартира"/>
    <s v="Мелеузовский"/>
    <x v="15"/>
    <m/>
    <n v="3"/>
    <n v="1"/>
    <n v="2016"/>
  </r>
  <r>
    <x v="104"/>
    <x v="63"/>
    <s v="Договор купли-продажи"/>
    <d v="2016-12-01T00:00:00"/>
    <d v="2016-12-01T00:00:00"/>
    <n v="1200000"/>
    <n v="23856.86"/>
    <n v="1"/>
    <s v="Ипотека"/>
    <s v="Помещение"/>
    <s v="Мелеузовский"/>
    <x v="15"/>
    <s v="Салавата"/>
    <n v="3"/>
    <n v="2"/>
    <n v="2016"/>
  </r>
  <r>
    <x v="104"/>
    <x v="63"/>
    <s v="Договор купли-продажи"/>
    <d v="2016-12-01T00:00:00"/>
    <d v="2016-12-01T00:00:00"/>
    <n v="1200000"/>
    <n v="23856.86"/>
    <n v="1"/>
    <s v="Ипотека"/>
    <s v="Помещение"/>
    <s v="Мелеузовский"/>
    <x v="15"/>
    <s v="Салавата"/>
    <n v="3"/>
    <n v="2"/>
    <n v="2016"/>
  </r>
  <r>
    <x v="97"/>
    <x v="147"/>
    <s v="Договор купли-продажи"/>
    <d v="2016-12-01T00:00:00"/>
    <d v="2016-12-01T00:00:00"/>
    <n v="774000"/>
    <n v="23962.85"/>
    <n v="1"/>
    <s v="Ипотека"/>
    <s v="Квартира"/>
    <s v="Мелеузовский"/>
    <x v="15"/>
    <s v="50 лет ВЛКСМ"/>
    <n v="1"/>
    <n v="1"/>
    <n v="2009"/>
  </r>
  <r>
    <x v="92"/>
    <x v="220"/>
    <s v="Договор купли-продажи"/>
    <d v="2017-01-01T00:00:00"/>
    <d v="2017-01-01T00:00:00"/>
    <n v="840000"/>
    <n v="24000"/>
    <n v="1"/>
    <s v="Ипотека"/>
    <s v="Квартира"/>
    <s v="Мелеузовский"/>
    <x v="15"/>
    <m/>
    <n v="4"/>
    <n v="1"/>
    <n v="2003"/>
  </r>
  <r>
    <x v="91"/>
    <x v="116"/>
    <s v="Договор купли-продажи"/>
    <d v="2017-03-01T00:00:00"/>
    <d v="2017-03-01T00:00:00"/>
    <n v="1450000"/>
    <n v="24166.67"/>
    <n v="1"/>
    <s v="Ипотека"/>
    <s v="Квартира"/>
    <s v="Мелеузовский"/>
    <x v="15"/>
    <s v="Бурангулова"/>
    <n v="5"/>
    <n v="1"/>
    <n v="2004"/>
  </r>
  <r>
    <x v="94"/>
    <x v="7"/>
    <s v="Договор купли-продажи"/>
    <d v="2016-12-01T00:00:00"/>
    <d v="2016-12-01T00:00:00"/>
    <n v="1220000"/>
    <n v="24448.9"/>
    <n v="1"/>
    <s v="Ипотека"/>
    <s v="Квартира"/>
    <s v="Мелеузовский"/>
    <x v="15"/>
    <s v="Октябрьская"/>
    <n v="7"/>
    <n v="2"/>
    <n v="2008"/>
  </r>
  <r>
    <x v="94"/>
    <x v="7"/>
    <s v="Договор купли-продажи"/>
    <d v="2016-12-01T00:00:00"/>
    <d v="2016-12-01T00:00:00"/>
    <n v="1220000"/>
    <n v="24448.9"/>
    <n v="1"/>
    <s v="Ипотека"/>
    <s v="Квартира"/>
    <s v="Мелеузовский"/>
    <x v="15"/>
    <s v="Октябрьская"/>
    <n v="7"/>
    <n v="2"/>
    <n v="2008"/>
  </r>
  <r>
    <x v="92"/>
    <x v="209"/>
    <s v="Договор купли-продажи"/>
    <d v="2017-01-01T00:00:00"/>
    <d v="2017-01-01T00:00:00"/>
    <n v="1580000"/>
    <n v="24458.2"/>
    <n v="1"/>
    <s v="Ипотека"/>
    <s v="Квартира"/>
    <s v="Мелеузовский"/>
    <x v="15"/>
    <m/>
    <n v="5"/>
    <n v="2"/>
    <n v="2005"/>
  </r>
  <r>
    <x v="92"/>
    <x v="209"/>
    <s v="Договор купли-продажи"/>
    <d v="2017-01-01T00:00:00"/>
    <d v="2017-01-01T00:00:00"/>
    <n v="1580000"/>
    <n v="24458.2"/>
    <n v="1"/>
    <s v="Ипотека"/>
    <s v="Квартира"/>
    <s v="Мелеузовский"/>
    <x v="15"/>
    <m/>
    <n v="5"/>
    <n v="2"/>
    <n v="2005"/>
  </r>
  <r>
    <x v="92"/>
    <x v="221"/>
    <s v="Договор купли-продажи"/>
    <d v="2016-11-01T00:00:00"/>
    <d v="2016-12-01T00:00:00"/>
    <n v="433026"/>
    <n v="24603.75"/>
    <n v="1"/>
    <s v="Ипотека"/>
    <s v="Помещение"/>
    <s v="Мелеузовский"/>
    <x v="15"/>
    <m/>
    <n v="2"/>
    <n v="1"/>
    <n v="2011"/>
  </r>
  <r>
    <x v="102"/>
    <x v="222"/>
    <s v="Договор купли-продажи"/>
    <d v="2016-12-01T00:00:00"/>
    <d v="2016-12-01T00:00:00"/>
    <n v="1012000"/>
    <n v="24622.87"/>
    <n v="1"/>
    <s v="Ипотека"/>
    <s v="Квартира"/>
    <s v="Мелеузовский"/>
    <x v="15"/>
    <m/>
    <n v="4"/>
    <n v="1"/>
    <n v="2006"/>
  </r>
  <r>
    <x v="97"/>
    <x v="223"/>
    <s v="Договор купли-продажи"/>
    <d v="2016-12-01T00:00:00"/>
    <d v="2016-12-01T00:00:00"/>
    <n v="1400000"/>
    <n v="24778.76"/>
    <n v="1"/>
    <s v="Ипотека"/>
    <s v="Квартира"/>
    <s v="Мелеузовский"/>
    <x v="15"/>
    <s v="Кочеткова"/>
    <n v="1"/>
    <n v="1"/>
    <n v="2003"/>
  </r>
  <r>
    <x v="92"/>
    <x v="224"/>
    <s v="Договор купли-продажи"/>
    <d v="2017-02-01T00:00:00"/>
    <d v="2017-03-01T00:00:00"/>
    <n v="1264000"/>
    <n v="24881.89"/>
    <n v="1"/>
    <s v="Ипотека"/>
    <s v="Квартира"/>
    <s v="Мелеузовский"/>
    <x v="15"/>
    <m/>
    <n v="3"/>
    <n v="2"/>
    <n v="2004"/>
  </r>
  <r>
    <x v="92"/>
    <x v="224"/>
    <s v="Договор купли-продажи"/>
    <d v="2017-02-01T00:00:00"/>
    <d v="2017-03-01T00:00:00"/>
    <n v="1264000"/>
    <n v="24881.89"/>
    <n v="1"/>
    <s v="Ипотека"/>
    <s v="Квартира"/>
    <s v="Мелеузовский"/>
    <x v="15"/>
    <m/>
    <n v="3"/>
    <n v="2"/>
    <n v="2004"/>
  </r>
  <r>
    <x v="98"/>
    <x v="76"/>
    <s v="Договор купли-продажи"/>
    <d v="2016-12-01T00:00:00"/>
    <d v="2016-12-01T00:00:00"/>
    <n v="1061000"/>
    <n v="25023.58"/>
    <n v="1"/>
    <s v="Ипотека"/>
    <s v="Помещение"/>
    <s v="Мелеузовский"/>
    <x v="15"/>
    <m/>
    <n v="2"/>
    <n v="1"/>
    <n v="2016"/>
  </r>
  <r>
    <x v="102"/>
    <x v="92"/>
    <s v="Договор купли-продажи"/>
    <d v="2016-10-01T00:00:00"/>
    <d v="2016-10-01T00:00:00"/>
    <n v="820000"/>
    <n v="25076.45"/>
    <n v="1"/>
    <s v="Ипотека"/>
    <s v="Помещение"/>
    <s v="Мелеузовский"/>
    <x v="15"/>
    <m/>
    <n v="5"/>
    <n v="1"/>
    <n v="2004"/>
  </r>
  <r>
    <x v="98"/>
    <x v="41"/>
    <s v="Договор купли-продажи"/>
    <d v="2016-12-01T00:00:00"/>
    <d v="2016-12-01T00:00:00"/>
    <n v="1080000"/>
    <n v="25292.74"/>
    <n v="1"/>
    <s v="Ипотека"/>
    <s v="Квартира"/>
    <s v="Мелеузовский"/>
    <x v="15"/>
    <m/>
    <n v="2"/>
    <n v="1"/>
    <n v="2016"/>
  </r>
  <r>
    <x v="93"/>
    <x v="103"/>
    <s v="Договор купли-продажи"/>
    <d v="2017-02-01T00:00:00"/>
    <d v="2017-03-01T00:00:00"/>
    <n v="1485000"/>
    <n v="25428.080000000002"/>
    <n v="1"/>
    <s v="Ипотека"/>
    <s v="3-комнатная квартира"/>
    <s v="Мелеузовский"/>
    <x v="15"/>
    <s v="Смоленская"/>
    <n v="2"/>
    <n v="1"/>
    <n v="2001"/>
  </r>
  <r>
    <x v="95"/>
    <x v="225"/>
    <s v="Договор купли-продажи"/>
    <d v="2016-10-01T00:00:00"/>
    <d v="2016-10-01T00:00:00"/>
    <n v="1440000"/>
    <n v="25622.78"/>
    <n v="1"/>
    <s v="Ипотека"/>
    <s v="Квартира"/>
    <s v="Мелеузовский"/>
    <x v="15"/>
    <s v="Октябрьская"/>
    <n v="10"/>
    <n v="1"/>
    <n v="2003"/>
  </r>
  <r>
    <x v="91"/>
    <x v="226"/>
    <s v="Договор купли-продажи"/>
    <d v="2016-11-01T00:00:00"/>
    <d v="2016-11-01T00:00:00"/>
    <n v="1630000"/>
    <n v="25955.41"/>
    <n v="1"/>
    <s v="Ипотека"/>
    <s v="Квартира"/>
    <s v="Мелеузовский"/>
    <x v="15"/>
    <s v="Бурангулова"/>
    <n v="5"/>
    <n v="1"/>
    <n v="2016"/>
  </r>
  <r>
    <x v="96"/>
    <x v="90"/>
    <s v="Договор купли-продажи"/>
    <d v="2016-12-01T00:00:00"/>
    <d v="2016-12-01T00:00:00"/>
    <n v="848000"/>
    <n v="26012.27"/>
    <n v="1"/>
    <s v="Ипотека"/>
    <s v="Помещение"/>
    <s v="Мелеузовский"/>
    <x v="15"/>
    <s v="Техническая"/>
    <n v="2"/>
    <n v="1"/>
    <n v="1999"/>
  </r>
  <r>
    <x v="102"/>
    <x v="200"/>
    <s v="Договор купли-продажи"/>
    <d v="2016-11-01T00:00:00"/>
    <d v="2016-11-01T00:00:00"/>
    <n v="1120000"/>
    <n v="26046.51"/>
    <n v="1"/>
    <s v="Ипотека"/>
    <s v="Помещение"/>
    <s v="Мелеузовский"/>
    <x v="15"/>
    <s v="50 лет ВЛКСМ"/>
    <n v="2"/>
    <n v="1"/>
    <n v="2000"/>
  </r>
  <r>
    <x v="93"/>
    <x v="4"/>
    <s v="Договор купли-продажи"/>
    <d v="2016-12-01T00:00:00"/>
    <d v="2016-12-01T00:00:00"/>
    <n v="1280000"/>
    <n v="26122.45"/>
    <n v="1"/>
    <s v="Ипотека"/>
    <s v="Помещение"/>
    <s v="Мелеузовский"/>
    <x v="15"/>
    <s v="Смоленская"/>
    <n v="4"/>
    <n v="1"/>
    <n v="2003"/>
  </r>
  <r>
    <x v="93"/>
    <x v="6"/>
    <s v="Договор купли-продажи"/>
    <d v="2016-12-01T00:00:00"/>
    <d v="2016-12-01T00:00:00"/>
    <n v="960000"/>
    <n v="26229.51"/>
    <n v="1"/>
    <s v="Ипотека"/>
    <s v="Помещение"/>
    <s v="Мелеузовский"/>
    <x v="15"/>
    <s v="Первомайская"/>
    <n v="4"/>
    <n v="2"/>
    <n v="1999"/>
  </r>
  <r>
    <x v="93"/>
    <x v="6"/>
    <s v="Договор купли-продажи"/>
    <d v="2016-12-01T00:00:00"/>
    <d v="2016-12-01T00:00:00"/>
    <n v="960000"/>
    <n v="26229.51"/>
    <n v="1"/>
    <s v="Ипотека"/>
    <s v="Помещение"/>
    <s v="Мелеузовский"/>
    <x v="15"/>
    <s v="Первомайская"/>
    <n v="4"/>
    <n v="2"/>
    <n v="1999"/>
  </r>
  <r>
    <x v="92"/>
    <x v="178"/>
    <s v="Договор купли-продажи"/>
    <d v="2016-12-01T00:00:00"/>
    <d v="2016-12-01T00:00:00"/>
    <n v="800000"/>
    <n v="26755.85"/>
    <n v="1"/>
    <s v="Ипотека"/>
    <s v="Квартира"/>
    <s v="Мелеузовский"/>
    <x v="15"/>
    <m/>
    <n v="4"/>
    <n v="2"/>
    <n v="2002"/>
  </r>
  <r>
    <x v="92"/>
    <x v="178"/>
    <s v="Договор купли-продажи"/>
    <d v="2016-12-01T00:00:00"/>
    <d v="2016-12-01T00:00:00"/>
    <n v="800000"/>
    <n v="26755.85"/>
    <n v="1"/>
    <s v="Ипотека"/>
    <s v="Квартира"/>
    <s v="Мелеузовский"/>
    <x v="15"/>
    <m/>
    <n v="4"/>
    <n v="2"/>
    <n v="2002"/>
  </r>
  <r>
    <x v="92"/>
    <x v="72"/>
    <s v="Договор купли-продажи"/>
    <d v="2016-12-01T00:00:00"/>
    <d v="2016-12-01T00:00:00"/>
    <n v="1240000"/>
    <n v="26956.52"/>
    <n v="1"/>
    <s v="Ипотека"/>
    <s v="Квартира"/>
    <s v="Мелеузовский"/>
    <x v="15"/>
    <m/>
    <n v="2"/>
    <n v="1"/>
    <n v="2007"/>
  </r>
  <r>
    <x v="92"/>
    <x v="227"/>
    <s v="Договор купли-продажи"/>
    <d v="2017-03-01T00:00:00"/>
    <d v="2017-03-01T00:00:00"/>
    <n v="1280000"/>
    <n v="27176.22"/>
    <n v="1"/>
    <s v="Ипотека"/>
    <s v="Квартира"/>
    <s v="Мелеузовский"/>
    <x v="15"/>
    <m/>
    <n v="6"/>
    <n v="1"/>
    <n v="2011"/>
  </r>
  <r>
    <x v="92"/>
    <x v="196"/>
    <s v="Договор купли-продажи"/>
    <d v="2016-10-01T00:00:00"/>
    <d v="2016-10-01T00:00:00"/>
    <n v="1650000"/>
    <n v="27272.73"/>
    <n v="1"/>
    <s v="Ипотека"/>
    <s v="Квартира"/>
    <s v="Мелеузовский"/>
    <x v="15"/>
    <m/>
    <n v="7"/>
    <n v="1"/>
    <n v="2011"/>
  </r>
  <r>
    <x v="94"/>
    <x v="107"/>
    <s v="Договор купли-продажи"/>
    <d v="2016-10-01T00:00:00"/>
    <d v="2016-11-01T00:00:00"/>
    <n v="1400000"/>
    <n v="27667.98"/>
    <n v="1"/>
    <s v="Ипотека"/>
    <s v="Помещение"/>
    <s v="Мелеузовский"/>
    <x v="15"/>
    <s v="Смоленская"/>
    <n v="6"/>
    <n v="1"/>
    <n v="2002"/>
  </r>
  <r>
    <x v="92"/>
    <x v="72"/>
    <s v="Договор купли-продажи"/>
    <d v="2017-02-01T00:00:00"/>
    <d v="2017-02-01T00:00:00"/>
    <n v="1280000"/>
    <n v="27826.09"/>
    <n v="1"/>
    <s v="Ипотека"/>
    <s v="Квартира"/>
    <s v="Мелеузовский"/>
    <x v="15"/>
    <m/>
    <n v="1"/>
    <n v="1"/>
    <n v="2008"/>
  </r>
  <r>
    <x v="92"/>
    <x v="228"/>
    <s v="Договор купли-продажи"/>
    <d v="2017-01-01T00:00:00"/>
    <d v="2017-02-01T00:00:00"/>
    <n v="1032500"/>
    <n v="27830.19"/>
    <n v="1"/>
    <s v="Ипотека"/>
    <s v="Помещение"/>
    <s v="Мелеузовский"/>
    <x v="15"/>
    <s v="32-й"/>
    <n v="1"/>
    <n v="1"/>
    <n v="2013"/>
  </r>
  <r>
    <x v="92"/>
    <x v="229"/>
    <s v="Договор купли-продажи"/>
    <d v="2017-01-01T00:00:00"/>
    <d v="2017-02-01T00:00:00"/>
    <n v="1105000"/>
    <n v="27833.75"/>
    <n v="1"/>
    <s v="Ипотека"/>
    <s v="Квартира"/>
    <s v="Мелеузовский"/>
    <x v="15"/>
    <m/>
    <n v="2"/>
    <n v="1"/>
    <n v="2006"/>
  </r>
  <r>
    <x v="92"/>
    <x v="230"/>
    <s v="Договор купли-продажи"/>
    <d v="2017-01-01T00:00:00"/>
    <d v="2017-01-01T00:00:00"/>
    <n v="1670000"/>
    <n v="28257.19"/>
    <n v="1"/>
    <s v="Ипотека"/>
    <s v="Квартира"/>
    <s v="Мелеузовский"/>
    <x v="15"/>
    <m/>
    <n v="7"/>
    <n v="1"/>
    <n v="2008"/>
  </r>
  <r>
    <x v="94"/>
    <x v="189"/>
    <s v="Договор купли-продажи"/>
    <d v="2016-12-01T00:00:00"/>
    <d v="2016-12-01T00:00:00"/>
    <n v="1480000"/>
    <n v="28461.54"/>
    <n v="1"/>
    <s v="Ипотека"/>
    <s v="Квартира"/>
    <s v="Мелеузовский"/>
    <x v="15"/>
    <m/>
    <n v="8"/>
    <n v="1"/>
    <n v="2015"/>
  </r>
  <r>
    <x v="105"/>
    <x v="231"/>
    <s v="Договор купли-продажи"/>
    <d v="2016-12-01T00:00:00"/>
    <d v="2016-12-01T00:00:00"/>
    <n v="2800000"/>
    <n v="28484.23"/>
    <n v="1"/>
    <s v="Ипотека"/>
    <s v="Помещение"/>
    <s v="Мелеузовский"/>
    <x v="15"/>
    <s v="Вохмина"/>
    <n v="1"/>
    <n v="1"/>
    <n v="2016"/>
  </r>
  <r>
    <x v="91"/>
    <x v="232"/>
    <s v="Договор купли-продажи"/>
    <d v="2016-12-01T00:00:00"/>
    <d v="2016-12-01T00:00:00"/>
    <n v="1080000"/>
    <n v="28877.01"/>
    <n v="1"/>
    <s v="Ипотека"/>
    <s v="Квартира"/>
    <s v="Мелеузовский"/>
    <x v="15"/>
    <s v="Бурангулова"/>
    <n v="4"/>
    <n v="1"/>
    <n v="2008"/>
  </r>
  <r>
    <x v="93"/>
    <x v="224"/>
    <s v="Договор купли-продажи"/>
    <d v="2017-02-01T00:00:00"/>
    <d v="2017-02-01T00:00:00"/>
    <n v="1480000"/>
    <n v="29133.86"/>
    <n v="1"/>
    <s v="Ипотека"/>
    <s v="Квартира"/>
    <s v="Мелеузовский"/>
    <x v="15"/>
    <s v="Октябрьская"/>
    <n v="3"/>
    <n v="1"/>
    <n v="2005"/>
  </r>
  <r>
    <x v="93"/>
    <x v="52"/>
    <s v="Договор купли-продажи"/>
    <d v="2016-12-01T00:00:00"/>
    <d v="2016-12-01T00:00:00"/>
    <n v="1395000"/>
    <n v="29184.1"/>
    <n v="1"/>
    <s v="Ипотека"/>
    <s v="Квартира"/>
    <s v="Мелеузовский"/>
    <x v="15"/>
    <s v="Матросова"/>
    <n v="5"/>
    <n v="1"/>
    <n v="2016"/>
  </r>
  <r>
    <x v="92"/>
    <x v="233"/>
    <s v="Договор купли-продажи"/>
    <d v="2017-03-01T00:00:00"/>
    <d v="2017-03-01T00:00:00"/>
    <n v="1000000"/>
    <n v="29411.759999999998"/>
    <n v="1"/>
    <s v="Ипотека"/>
    <s v="1-комнатная квартира"/>
    <s v="Мелеузовский"/>
    <x v="15"/>
    <m/>
    <n v="5"/>
    <n v="1"/>
    <n v="2005"/>
  </r>
  <r>
    <x v="95"/>
    <x v="145"/>
    <s v="Договор купли-продажи"/>
    <d v="2016-11-01T00:00:00"/>
    <d v="2016-11-01T00:00:00"/>
    <n v="1680000"/>
    <n v="29681.98"/>
    <n v="1"/>
    <s v="Ипотека"/>
    <s v="Квартира"/>
    <s v="Мелеузовский"/>
    <x v="15"/>
    <s v="Октябрьская"/>
    <n v="8"/>
    <n v="2"/>
    <n v="2002"/>
  </r>
  <r>
    <x v="95"/>
    <x v="145"/>
    <s v="Договор купли-продажи"/>
    <d v="2016-11-01T00:00:00"/>
    <d v="2016-11-01T00:00:00"/>
    <n v="1680000"/>
    <n v="29681.98"/>
    <n v="1"/>
    <s v="Ипотека"/>
    <s v="Квартира"/>
    <s v="Мелеузовский"/>
    <x v="15"/>
    <s v="Октябрьская"/>
    <n v="8"/>
    <n v="2"/>
    <n v="2002"/>
  </r>
  <r>
    <x v="91"/>
    <x v="234"/>
    <s v="Договор купли-продажи"/>
    <d v="2016-12-01T00:00:00"/>
    <d v="2016-12-01T00:00:00"/>
    <n v="1488000"/>
    <n v="30060.61"/>
    <n v="1"/>
    <s v="Ипотека"/>
    <s v="Квартира"/>
    <s v="Мелеузовский"/>
    <x v="15"/>
    <s v="Бурангулова"/>
    <n v="4"/>
    <n v="2"/>
    <n v="2003"/>
  </r>
  <r>
    <x v="91"/>
    <x v="234"/>
    <s v="Договор купли-продажи"/>
    <d v="2016-12-01T00:00:00"/>
    <d v="2016-12-01T00:00:00"/>
    <n v="1488000"/>
    <n v="30060.61"/>
    <n v="1"/>
    <s v="Ипотека"/>
    <s v="Квартира"/>
    <s v="Мелеузовский"/>
    <x v="15"/>
    <s v="Бурангулова"/>
    <n v="4"/>
    <n v="2"/>
    <n v="2003"/>
  </r>
  <r>
    <x v="94"/>
    <x v="81"/>
    <s v="Договор купли-продажи"/>
    <d v="2016-11-01T00:00:00"/>
    <d v="2016-11-01T00:00:00"/>
    <n v="1120000"/>
    <n v="30107.53"/>
    <n v="1"/>
    <s v="Ипотека"/>
    <s v="Квартира"/>
    <s v="Мелеузовский"/>
    <x v="15"/>
    <s v="Смоленская"/>
    <n v="5"/>
    <n v="2"/>
    <n v="2004"/>
  </r>
  <r>
    <x v="94"/>
    <x v="81"/>
    <s v="Договор купли-продажи"/>
    <d v="2016-11-01T00:00:00"/>
    <d v="2016-11-01T00:00:00"/>
    <n v="1120000"/>
    <n v="30107.53"/>
    <n v="1"/>
    <s v="Ипотека"/>
    <s v="Квартира"/>
    <s v="Мелеузовский"/>
    <x v="15"/>
    <s v="Смоленская"/>
    <n v="5"/>
    <n v="2"/>
    <n v="2004"/>
  </r>
  <r>
    <x v="94"/>
    <x v="13"/>
    <s v="Договор купли-продажи"/>
    <d v="2016-11-01T00:00:00"/>
    <d v="2016-11-01T00:00:00"/>
    <n v="1600000"/>
    <n v="30418.25"/>
    <n v="1"/>
    <s v="Ипотека"/>
    <s v="Помещение"/>
    <s v="Мелеузовский"/>
    <x v="15"/>
    <s v="Смоленская"/>
    <n v="3"/>
    <n v="1"/>
    <n v="2016"/>
  </r>
  <r>
    <x v="106"/>
    <x v="60"/>
    <s v="Договор купли-продажи"/>
    <d v="2016-10-01T00:00:00"/>
    <d v="2016-10-01T00:00:00"/>
    <n v="1360000"/>
    <n v="30979.5"/>
    <n v="1"/>
    <s v="Ипотека"/>
    <s v="Квартира"/>
    <s v="Мелеузовский"/>
    <x v="15"/>
    <m/>
    <n v="5"/>
    <n v="1"/>
    <n v="2010"/>
  </r>
  <r>
    <x v="94"/>
    <x v="163"/>
    <s v="Договор купли-продажи"/>
    <d v="2017-02-01T00:00:00"/>
    <d v="2017-02-01T00:00:00"/>
    <n v="1600000"/>
    <n v="31311.15"/>
    <n v="1"/>
    <s v="Ипотека"/>
    <s v="Помещение"/>
    <s v="Мелеузовский"/>
    <x v="15"/>
    <m/>
    <n v="3"/>
    <n v="2"/>
    <n v="2000"/>
  </r>
  <r>
    <x v="94"/>
    <x v="163"/>
    <s v="Договор купли-продажи"/>
    <d v="2017-02-01T00:00:00"/>
    <d v="2017-02-01T00:00:00"/>
    <n v="1600000"/>
    <n v="31311.15"/>
    <n v="1"/>
    <s v="Ипотека"/>
    <s v="Помещение"/>
    <s v="Мелеузовский"/>
    <x v="15"/>
    <m/>
    <n v="3"/>
    <n v="2"/>
    <n v="2000"/>
  </r>
  <r>
    <x v="97"/>
    <x v="196"/>
    <s v="Договор купли-продажи"/>
    <d v="2016-11-01T00:00:00"/>
    <d v="2016-11-01T00:00:00"/>
    <n v="1911000"/>
    <n v="31586.78"/>
    <n v="1"/>
    <s v="Ипотека"/>
    <s v="Квартира"/>
    <s v="Мелеузовский"/>
    <x v="15"/>
    <s v="50 лет ВЛКСМ"/>
    <n v="5"/>
    <n v="1"/>
    <n v="2016"/>
  </r>
  <r>
    <x v="92"/>
    <x v="235"/>
    <s v="Договор купли-продажи"/>
    <d v="2016-12-01T00:00:00"/>
    <d v="2016-12-01T00:00:00"/>
    <n v="1845000"/>
    <n v="31810.34"/>
    <n v="1"/>
    <s v="Ипотека"/>
    <s v="Квартира"/>
    <s v="Мелеузовский"/>
    <x v="15"/>
    <m/>
    <n v="5"/>
    <n v="1"/>
    <n v="2002"/>
  </r>
  <r>
    <x v="100"/>
    <x v="67"/>
    <s v="Договор купли-продажи"/>
    <d v="2016-10-01T00:00:00"/>
    <d v="2016-11-01T00:00:00"/>
    <n v="1450000"/>
    <n v="32079.65"/>
    <n v="1"/>
    <s v="Ипотека"/>
    <s v="Квартира"/>
    <s v="Мелеузовский"/>
    <x v="15"/>
    <m/>
    <n v="2"/>
    <n v="1"/>
    <n v="2006"/>
  </r>
  <r>
    <x v="93"/>
    <x v="236"/>
    <s v="Договор купли-продажи"/>
    <d v="2016-10-01T00:00:00"/>
    <d v="2016-11-01T00:00:00"/>
    <n v="1960000"/>
    <n v="32131.15"/>
    <n v="1"/>
    <s v="Ипотека"/>
    <s v="Квартира"/>
    <s v="Мелеузовский"/>
    <x v="15"/>
    <s v="Октябрьская"/>
    <n v="2"/>
    <n v="2"/>
    <n v="2009"/>
  </r>
  <r>
    <x v="93"/>
    <x v="236"/>
    <s v="Договор купли-продажи"/>
    <d v="2016-10-01T00:00:00"/>
    <d v="2016-11-01T00:00:00"/>
    <n v="1960000"/>
    <n v="32131.15"/>
    <n v="1"/>
    <s v="Ипотека"/>
    <s v="Квартира"/>
    <s v="Мелеузовский"/>
    <x v="15"/>
    <s v="Октябрьская"/>
    <n v="2"/>
    <n v="2"/>
    <n v="2009"/>
  </r>
  <r>
    <x v="92"/>
    <x v="132"/>
    <s v="Договор купли-продажи"/>
    <d v="2016-09-01T00:00:00"/>
    <d v="2016-10-01T00:00:00"/>
    <n v="1000000"/>
    <n v="32894.74"/>
    <n v="1"/>
    <s v="Ипотека"/>
    <s v="Помещение"/>
    <s v="Мелеузовский"/>
    <x v="15"/>
    <m/>
    <n v="1"/>
    <n v="1"/>
    <n v="2009"/>
  </r>
  <r>
    <x v="107"/>
    <x v="237"/>
    <s v="Договор купли-продажи"/>
    <d v="2016-09-01T00:00:00"/>
    <d v="2016-10-01T00:00:00"/>
    <n v="1000000"/>
    <n v="34246.58"/>
    <n v="1"/>
    <s v="Ипотека"/>
    <s v="Квартира"/>
    <s v="Мелеузовский"/>
    <x v="15"/>
    <s v="Смоленская"/>
    <n v="1"/>
    <n v="1"/>
    <n v="2006"/>
  </r>
  <r>
    <x v="93"/>
    <x v="34"/>
    <s v="Договор купли-продажи"/>
    <d v="2017-01-01T00:00:00"/>
    <d v="2017-02-01T00:00:00"/>
    <n v="1200000"/>
    <n v="34482.76"/>
    <n v="1"/>
    <s v="Ипотека"/>
    <s v="Квартира"/>
    <s v="Мелеузовский"/>
    <x v="15"/>
    <s v="Цюрупы"/>
    <n v="3"/>
    <n v="1"/>
    <n v="2017"/>
  </r>
  <r>
    <x v="97"/>
    <x v="235"/>
    <s v="Договор купли-продажи"/>
    <d v="2016-11-01T00:00:00"/>
    <d v="2016-11-01T00:00:00"/>
    <n v="2050000"/>
    <n v="35344.83"/>
    <n v="1"/>
    <s v="Ипотека"/>
    <s v="Помещение"/>
    <s v="Мелеузовский"/>
    <x v="15"/>
    <s v="Дзержинского"/>
    <n v="4"/>
    <n v="1"/>
    <n v="2010"/>
  </r>
  <r>
    <x v="107"/>
    <x v="23"/>
    <s v="Договор купли-продажи"/>
    <d v="2016-09-01T00:00:00"/>
    <d v="2016-10-01T00:00:00"/>
    <n v="1000000"/>
    <n v="37174.720000000001"/>
    <n v="1"/>
    <s v="Ипотека"/>
    <s v="Квартира"/>
    <s v="Мелеузовский"/>
    <x v="15"/>
    <s v="Смоленская"/>
    <n v="1"/>
    <n v="1"/>
    <n v="2006"/>
  </r>
  <r>
    <x v="108"/>
    <x v="84"/>
    <s v="Договор купли-продажи"/>
    <d v="2017-01-01T00:00:00"/>
    <d v="2017-02-01T00:00:00"/>
    <n v="1030000"/>
    <n v="25000"/>
    <n v="1"/>
    <s v="Ипотека"/>
    <s v="Квартира"/>
    <m/>
    <x v="16"/>
    <m/>
    <n v="9"/>
    <n v="1"/>
    <n v="2016"/>
  </r>
  <r>
    <x v="109"/>
    <x v="147"/>
    <s v="Договор купли-продажи"/>
    <d v="2016-12-01T00:00:00"/>
    <d v="2016-12-01T00:00:00"/>
    <n v="810000"/>
    <n v="25077.4"/>
    <n v="1"/>
    <s v="Ипотека"/>
    <s v="Квартира"/>
    <m/>
    <x v="16"/>
    <m/>
    <n v="1"/>
    <n v="1"/>
    <n v="2012"/>
  </r>
  <r>
    <x v="109"/>
    <x v="49"/>
    <s v="Договор купли-продажи"/>
    <d v="2016-12-01T00:00:00"/>
    <d v="2016-12-01T00:00:00"/>
    <n v="1100000"/>
    <n v="25229.360000000001"/>
    <n v="1"/>
    <s v="Ипотека"/>
    <s v="Квартира"/>
    <m/>
    <x v="16"/>
    <s v="Комсомольский"/>
    <n v="6"/>
    <n v="2"/>
    <n v="2000"/>
  </r>
  <r>
    <x v="109"/>
    <x v="49"/>
    <s v="Договор купли-продажи"/>
    <d v="2016-12-01T00:00:00"/>
    <d v="2016-12-01T00:00:00"/>
    <n v="1100000"/>
    <n v="25229.360000000001"/>
    <n v="1"/>
    <s v="Ипотека"/>
    <s v="Квартира"/>
    <m/>
    <x v="16"/>
    <s v="Комсомольский"/>
    <n v="6"/>
    <n v="2"/>
    <n v="2000"/>
  </r>
  <r>
    <x v="108"/>
    <x v="238"/>
    <s v="Договор купли-продажи"/>
    <d v="2016-11-01T00:00:00"/>
    <d v="2016-11-01T00:00:00"/>
    <n v="1424000"/>
    <n v="25248.23"/>
    <n v="1"/>
    <s v="Ипотека"/>
    <s v="Квартира"/>
    <m/>
    <x v="16"/>
    <m/>
    <n v="6"/>
    <n v="2"/>
    <n v="2016"/>
  </r>
  <r>
    <x v="108"/>
    <x v="238"/>
    <s v="Договор купли-продажи"/>
    <d v="2016-11-01T00:00:00"/>
    <d v="2016-11-01T00:00:00"/>
    <n v="1424000"/>
    <n v="25248.23"/>
    <n v="1"/>
    <s v="Ипотека"/>
    <s v="Квартира"/>
    <m/>
    <x v="16"/>
    <m/>
    <n v="6"/>
    <n v="2"/>
    <n v="2016"/>
  </r>
  <r>
    <x v="110"/>
    <x v="239"/>
    <s v="Договор купли-продажи"/>
    <d v="2016-11-01T00:00:00"/>
    <d v="2016-11-01T00:00:00"/>
    <n v="1376000"/>
    <n v="25481.48"/>
    <n v="1"/>
    <s v="Ипотека"/>
    <s v="Квартира"/>
    <m/>
    <x v="16"/>
    <s v="Парковая"/>
    <n v="2"/>
    <n v="2"/>
    <n v="2000"/>
  </r>
  <r>
    <x v="110"/>
    <x v="239"/>
    <s v="Договор купли-продажи"/>
    <d v="2016-11-01T00:00:00"/>
    <d v="2016-11-01T00:00:00"/>
    <n v="1376000"/>
    <n v="25481.48"/>
    <n v="1"/>
    <s v="Ипотека"/>
    <s v="Квартира"/>
    <m/>
    <x v="16"/>
    <s v="Парковая"/>
    <n v="2"/>
    <n v="2"/>
    <n v="2000"/>
  </r>
  <r>
    <x v="111"/>
    <x v="240"/>
    <s v="Договор купли-продажи"/>
    <d v="2016-12-01T00:00:00"/>
    <d v="2016-12-01T00:00:00"/>
    <n v="2640000"/>
    <n v="25531.91"/>
    <n v="1"/>
    <s v="Ипотека"/>
    <s v="Квартира"/>
    <m/>
    <x v="16"/>
    <s v="Строителей"/>
    <n v="4"/>
    <n v="1"/>
    <n v="2005"/>
  </r>
  <r>
    <x v="112"/>
    <x v="13"/>
    <s v="Договор купли-продажи"/>
    <d v="2016-12-01T00:00:00"/>
    <d v="2016-12-01T00:00:00"/>
    <n v="1343000"/>
    <n v="25532.32"/>
    <n v="1"/>
    <s v="Ипотека"/>
    <s v="Квартира"/>
    <m/>
    <x v="16"/>
    <m/>
    <n v="4"/>
    <n v="1"/>
    <n v="2016"/>
  </r>
  <r>
    <x v="113"/>
    <x v="70"/>
    <s v="Договор купли-продажи"/>
    <d v="2016-12-01T00:00:00"/>
    <d v="2016-12-01T00:00:00"/>
    <n v="1140000"/>
    <n v="25560.54"/>
    <n v="1"/>
    <s v="Ипотека"/>
    <s v="Квартира"/>
    <m/>
    <x v="16"/>
    <m/>
    <n v="4"/>
    <n v="1"/>
    <n v="2004"/>
  </r>
  <r>
    <x v="110"/>
    <x v="241"/>
    <s v="Договор купли-продажи"/>
    <d v="2016-09-01T00:00:00"/>
    <d v="2016-10-01T00:00:00"/>
    <n v="1350000"/>
    <n v="25568.18"/>
    <n v="1"/>
    <s v="Ипотека"/>
    <s v="Квартира"/>
    <m/>
    <x v="16"/>
    <m/>
    <n v="6"/>
    <n v="2"/>
    <n v="2016"/>
  </r>
  <r>
    <x v="110"/>
    <x v="241"/>
    <s v="Договор купли-продажи"/>
    <d v="2016-09-01T00:00:00"/>
    <d v="2016-10-01T00:00:00"/>
    <n v="1350000"/>
    <n v="25568.18"/>
    <n v="1"/>
    <s v="Ипотека"/>
    <s v="Квартира"/>
    <m/>
    <x v="16"/>
    <m/>
    <n v="6"/>
    <n v="2"/>
    <n v="2016"/>
  </r>
  <r>
    <x v="112"/>
    <x v="46"/>
    <s v="Договор купли-продажи"/>
    <d v="2016-12-01T00:00:00"/>
    <d v="2017-01-01T00:00:00"/>
    <n v="839680"/>
    <n v="25600"/>
    <n v="1"/>
    <s v="Ипотека"/>
    <s v="Квартира"/>
    <m/>
    <x v="16"/>
    <m/>
    <n v="2"/>
    <n v="2"/>
    <n v="2016"/>
  </r>
  <r>
    <x v="112"/>
    <x v="46"/>
    <s v="Договор купли-продажи"/>
    <d v="2016-12-01T00:00:00"/>
    <d v="2017-01-01T00:00:00"/>
    <n v="839680"/>
    <n v="25600"/>
    <n v="1"/>
    <s v="Ипотека"/>
    <s v="Квартира"/>
    <m/>
    <x v="16"/>
    <m/>
    <n v="2"/>
    <n v="2"/>
    <n v="2016"/>
  </r>
  <r>
    <x v="112"/>
    <x v="242"/>
    <s v="Договор купли-продажи"/>
    <d v="2017-02-01T00:00:00"/>
    <d v="2017-02-01T00:00:00"/>
    <n v="1605200"/>
    <n v="25601.279999999999"/>
    <n v="1"/>
    <s v="Ипотека"/>
    <s v="Квартира"/>
    <m/>
    <x v="16"/>
    <m/>
    <n v="2"/>
    <n v="1"/>
    <n v="2016"/>
  </r>
  <r>
    <x v="114"/>
    <x v="243"/>
    <s v="Договор купли-продажи"/>
    <d v="2016-10-01T00:00:00"/>
    <d v="2016-10-01T00:00:00"/>
    <n v="1580000"/>
    <n v="25607.78"/>
    <n v="1"/>
    <s v="Ипотека"/>
    <s v="Квартира"/>
    <m/>
    <x v="16"/>
    <s v="Юбилейный"/>
    <n v="2"/>
    <n v="2"/>
    <n v="2016"/>
  </r>
  <r>
    <x v="114"/>
    <x v="243"/>
    <s v="Договор купли-продажи"/>
    <d v="2016-10-01T00:00:00"/>
    <d v="2016-10-01T00:00:00"/>
    <n v="1580000"/>
    <n v="25607.78"/>
    <n v="1"/>
    <s v="Ипотека"/>
    <s v="Квартира"/>
    <m/>
    <x v="16"/>
    <s v="Юбилейный"/>
    <n v="2"/>
    <n v="2"/>
    <n v="2016"/>
  </r>
  <r>
    <x v="115"/>
    <x v="2"/>
    <s v="Договор купли-продажи"/>
    <d v="2016-12-01T00:00:00"/>
    <d v="2016-12-01T00:00:00"/>
    <n v="770000"/>
    <n v="25666.67"/>
    <n v="1"/>
    <s v="Ипотека"/>
    <s v="Квартира"/>
    <m/>
    <x v="16"/>
    <s v="Социалистическая"/>
    <n v="5"/>
    <n v="2"/>
    <n v="2006"/>
  </r>
  <r>
    <x v="115"/>
    <x v="2"/>
    <s v="Договор купли-продажи"/>
    <d v="2016-12-01T00:00:00"/>
    <d v="2016-12-01T00:00:00"/>
    <n v="770000"/>
    <n v="25666.67"/>
    <n v="1"/>
    <s v="Ипотека"/>
    <s v="Квартира"/>
    <m/>
    <x v="16"/>
    <s v="Социалистическая"/>
    <n v="5"/>
    <n v="2"/>
    <n v="2006"/>
  </r>
  <r>
    <x v="109"/>
    <x v="57"/>
    <s v="Договор купли-продажи"/>
    <d v="2016-11-01T00:00:00"/>
    <d v="2016-11-01T00:00:00"/>
    <n v="870000"/>
    <n v="25739.65"/>
    <n v="1"/>
    <s v="Ипотека"/>
    <s v="Квартира"/>
    <m/>
    <x v="16"/>
    <s v="Парковая"/>
    <n v="3"/>
    <n v="2"/>
    <n v="2005"/>
  </r>
  <r>
    <x v="109"/>
    <x v="57"/>
    <s v="Договор купли-продажи"/>
    <d v="2016-11-01T00:00:00"/>
    <d v="2016-11-01T00:00:00"/>
    <n v="870000"/>
    <n v="25739.65"/>
    <n v="1"/>
    <s v="Ипотека"/>
    <s v="Квартира"/>
    <m/>
    <x v="16"/>
    <s v="Парковая"/>
    <n v="3"/>
    <n v="2"/>
    <n v="2005"/>
  </r>
  <r>
    <x v="109"/>
    <x v="167"/>
    <s v="Договор купли-продажи"/>
    <d v="2016-12-01T00:00:00"/>
    <d v="2017-01-01T00:00:00"/>
    <n v="1600000"/>
    <n v="25806.45"/>
    <n v="1"/>
    <s v="Ипотека"/>
    <s v="Квартира"/>
    <m/>
    <x v="16"/>
    <s v="Парковая"/>
    <n v="1"/>
    <n v="2"/>
    <n v="2004"/>
  </r>
  <r>
    <x v="109"/>
    <x v="167"/>
    <s v="Договор купли-продажи"/>
    <d v="2016-12-01T00:00:00"/>
    <d v="2017-01-01T00:00:00"/>
    <n v="1600000"/>
    <n v="25806.45"/>
    <n v="1"/>
    <s v="Ипотека"/>
    <s v="Квартира"/>
    <m/>
    <x v="16"/>
    <s v="Парковая"/>
    <n v="1"/>
    <n v="2"/>
    <n v="2004"/>
  </r>
  <r>
    <x v="116"/>
    <x v="244"/>
    <s v="Договор купли-продажи"/>
    <d v="2017-01-01T00:00:00"/>
    <d v="2017-01-01T00:00:00"/>
    <n v="1517123.97"/>
    <n v="25845.38"/>
    <n v="1"/>
    <s v="Ипотека"/>
    <s v="Квартира"/>
    <m/>
    <x v="16"/>
    <s v="Дорожная"/>
    <n v="8"/>
    <n v="1"/>
    <n v="2000"/>
  </r>
  <r>
    <x v="117"/>
    <x v="245"/>
    <s v="Договор купли-продажи"/>
    <d v="2016-11-01T00:00:00"/>
    <d v="2016-11-01T00:00:00"/>
    <n v="1350000"/>
    <n v="25862.07"/>
    <n v="1"/>
    <s v="Ипотека"/>
    <s v="Квартира"/>
    <m/>
    <x v="16"/>
    <s v="Юбилейный"/>
    <n v="1"/>
    <n v="1"/>
    <n v="2009"/>
  </r>
  <r>
    <x v="118"/>
    <x v="48"/>
    <s v="Договор купли-продажи"/>
    <d v="2016-12-01T00:00:00"/>
    <d v="2016-12-01T00:00:00"/>
    <n v="927000"/>
    <n v="25893.85"/>
    <n v="1"/>
    <s v="Ипотека"/>
    <s v="Квартира"/>
    <m/>
    <x v="16"/>
    <m/>
    <n v="1"/>
    <n v="1"/>
    <n v="1999"/>
  </r>
  <r>
    <x v="109"/>
    <x v="52"/>
    <s v="Договор купли-продажи"/>
    <d v="2016-12-01T00:00:00"/>
    <d v="2016-12-01T00:00:00"/>
    <n v="1240000"/>
    <n v="25941.42"/>
    <n v="1"/>
    <s v="Ипотека"/>
    <s v="Квартира"/>
    <m/>
    <x v="16"/>
    <m/>
    <n v="2"/>
    <n v="1"/>
    <n v="2016"/>
  </r>
  <r>
    <x v="119"/>
    <x v="246"/>
    <s v="Договор купли-продажи"/>
    <d v="2017-01-01T00:00:00"/>
    <d v="2017-02-01T00:00:00"/>
    <n v="3500000"/>
    <n v="25983.67"/>
    <n v="1"/>
    <s v="Ипотека"/>
    <s v="Квартира"/>
    <m/>
    <x v="16"/>
    <m/>
    <s v="5, этаж мансардный"/>
    <n v="1"/>
    <n v="2007"/>
  </r>
  <r>
    <x v="116"/>
    <x v="213"/>
    <s v="Договор купли-продажи"/>
    <d v="2017-02-01T00:00:00"/>
    <d v="2017-02-01T00:00:00"/>
    <n v="1500000"/>
    <n v="25996.53"/>
    <n v="1"/>
    <s v="Ипотека"/>
    <s v="Квартира"/>
    <m/>
    <x v="16"/>
    <s v="Дорожная"/>
    <n v="4"/>
    <n v="1"/>
    <n v="2014"/>
  </r>
  <r>
    <x v="112"/>
    <x v="90"/>
    <s v="Договор купли-продажи"/>
    <d v="2016-12-01T00:00:00"/>
    <d v="2016-12-01T00:00:00"/>
    <n v="847500"/>
    <n v="25996.93"/>
    <n v="1"/>
    <s v="Ипотека"/>
    <s v="Квартира"/>
    <m/>
    <x v="16"/>
    <m/>
    <n v="9"/>
    <n v="1"/>
    <n v="2016"/>
  </r>
  <r>
    <x v="112"/>
    <x v="198"/>
    <s v="Договор купли-продажи"/>
    <d v="2016-12-01T00:00:00"/>
    <d v="2016-12-01T00:00:00"/>
    <n v="782600"/>
    <n v="26000"/>
    <n v="1"/>
    <s v="Ипотека"/>
    <s v="Квартира"/>
    <m/>
    <x v="16"/>
    <m/>
    <n v="7"/>
    <n v="1"/>
    <n v="2016"/>
  </r>
  <r>
    <x v="120"/>
    <x v="210"/>
    <s v="Договор купли-продажи"/>
    <d v="2017-01-01T00:00:00"/>
    <d v="2017-01-01T00:00:00"/>
    <n v="936000"/>
    <n v="26000"/>
    <n v="1"/>
    <s v="Ипотека"/>
    <s v="Квартира"/>
    <m/>
    <x v="16"/>
    <s v="Энергетиков"/>
    <n v="7"/>
    <n v="2"/>
    <n v="2010"/>
  </r>
  <r>
    <x v="120"/>
    <x v="210"/>
    <s v="Договор купли-продажи"/>
    <d v="2017-01-01T00:00:00"/>
    <d v="2017-01-01T00:00:00"/>
    <n v="936000"/>
    <n v="26000"/>
    <n v="1"/>
    <s v="Ипотека"/>
    <s v="Квартира"/>
    <m/>
    <x v="16"/>
    <s v="Энергетиков"/>
    <n v="7"/>
    <n v="2"/>
    <n v="2010"/>
  </r>
  <r>
    <x v="108"/>
    <x v="208"/>
    <s v="Договор купли-продажи"/>
    <d v="2016-10-01T00:00:00"/>
    <d v="2016-11-01T00:00:00"/>
    <n v="944000"/>
    <n v="26077.35"/>
    <n v="1"/>
    <s v="Ипотека"/>
    <s v="Квартира"/>
    <m/>
    <x v="16"/>
    <s v="Комсомольский"/>
    <n v="2"/>
    <n v="1"/>
    <n v="2016"/>
  </r>
  <r>
    <x v="121"/>
    <x v="247"/>
    <s v="Договор купли-продажи"/>
    <d v="2016-10-01T00:00:00"/>
    <d v="2016-11-01T00:00:00"/>
    <n v="700000"/>
    <n v="26119.4"/>
    <n v="1"/>
    <s v="Ипотека"/>
    <s v="Квартира"/>
    <m/>
    <x v="16"/>
    <s v="Победы"/>
    <n v="2"/>
    <n v="2"/>
    <n v="2007"/>
  </r>
  <r>
    <x v="121"/>
    <x v="247"/>
    <s v="Договор купли-продажи"/>
    <d v="2016-10-01T00:00:00"/>
    <d v="2016-11-01T00:00:00"/>
    <n v="700000"/>
    <n v="26119.4"/>
    <n v="1"/>
    <s v="Ипотека"/>
    <s v="Квартира"/>
    <m/>
    <x v="16"/>
    <s v="Победы"/>
    <n v="2"/>
    <n v="2"/>
    <n v="2007"/>
  </r>
  <r>
    <x v="108"/>
    <x v="38"/>
    <s v="Договор купли-продажи"/>
    <d v="2016-12-01T00:00:00"/>
    <d v="2016-12-01T00:00:00"/>
    <n v="821600"/>
    <n v="26165.61"/>
    <n v="1"/>
    <s v="Ипотека"/>
    <s v="Квартира"/>
    <m/>
    <x v="16"/>
    <m/>
    <n v="5"/>
    <n v="1"/>
    <n v="2016"/>
  </r>
  <r>
    <x v="108"/>
    <x v="104"/>
    <s v="Договор купли-продажи"/>
    <d v="2016-12-01T00:00:00"/>
    <d v="2017-01-01T00:00:00"/>
    <n v="832200"/>
    <n v="26252.37"/>
    <n v="1"/>
    <s v="Ипотека"/>
    <s v="Квартира"/>
    <m/>
    <x v="16"/>
    <m/>
    <n v="5"/>
    <n v="1"/>
    <n v="2016"/>
  </r>
  <r>
    <x v="122"/>
    <x v="153"/>
    <s v="Договор купли-продажи"/>
    <d v="2016-11-01T00:00:00"/>
    <d v="2016-11-01T00:00:00"/>
    <n v="1680200"/>
    <n v="26335.42"/>
    <n v="1"/>
    <s v="Ипотека"/>
    <s v="Квартира"/>
    <m/>
    <x v="16"/>
    <m/>
    <n v="8"/>
    <n v="2"/>
    <n v="2016"/>
  </r>
  <r>
    <x v="122"/>
    <x v="153"/>
    <s v="Договор купли-продажи"/>
    <d v="2016-11-01T00:00:00"/>
    <d v="2016-11-01T00:00:00"/>
    <n v="1680200"/>
    <n v="26335.42"/>
    <n v="1"/>
    <s v="Ипотека"/>
    <s v="Квартира"/>
    <m/>
    <x v="16"/>
    <m/>
    <n v="8"/>
    <n v="2"/>
    <n v="2016"/>
  </r>
  <r>
    <x v="123"/>
    <x v="248"/>
    <s v="Договор купли-продажи"/>
    <d v="2016-12-01T00:00:00"/>
    <d v="2016-12-01T00:00:00"/>
    <n v="830000"/>
    <n v="26349.21"/>
    <n v="1"/>
    <s v="Ипотека"/>
    <s v="Квартира"/>
    <m/>
    <x v="16"/>
    <s v="Комсомольский"/>
    <n v="1"/>
    <n v="2"/>
    <n v="2016"/>
  </r>
  <r>
    <x v="123"/>
    <x v="248"/>
    <s v="Договор купли-продажи"/>
    <d v="2016-12-01T00:00:00"/>
    <d v="2016-12-01T00:00:00"/>
    <n v="830000"/>
    <n v="26349.21"/>
    <n v="1"/>
    <s v="Ипотека"/>
    <s v="Квартира"/>
    <m/>
    <x v="16"/>
    <s v="Комсомольский"/>
    <n v="1"/>
    <n v="2"/>
    <n v="2016"/>
  </r>
  <r>
    <x v="115"/>
    <x v="249"/>
    <s v="Договор купли-продажи"/>
    <d v="2016-12-01T00:00:00"/>
    <d v="2016-12-01T00:00:00"/>
    <n v="800000"/>
    <n v="26402.639999999999"/>
    <n v="1"/>
    <s v="Ипотека"/>
    <s v="Квартира"/>
    <m/>
    <x v="16"/>
    <s v="Комсомольский"/>
    <n v="2"/>
    <n v="2"/>
    <n v="2001"/>
  </r>
  <r>
    <x v="115"/>
    <x v="249"/>
    <s v="Договор купли-продажи"/>
    <d v="2016-12-01T00:00:00"/>
    <d v="2016-12-01T00:00:00"/>
    <n v="800000"/>
    <n v="26402.639999999999"/>
    <n v="1"/>
    <s v="Ипотека"/>
    <s v="Квартира"/>
    <m/>
    <x v="16"/>
    <s v="Комсомольский"/>
    <n v="2"/>
    <n v="2"/>
    <n v="2001"/>
  </r>
  <r>
    <x v="112"/>
    <x v="175"/>
    <s v="Договор купли-продажи"/>
    <d v="2017-01-01T00:00:00"/>
    <d v="2017-02-01T00:00:00"/>
    <n v="858750"/>
    <n v="26423.08"/>
    <n v="1"/>
    <s v="Ипотека"/>
    <s v="Квартира"/>
    <m/>
    <x v="16"/>
    <m/>
    <n v="9"/>
    <n v="1"/>
    <n v="2016"/>
  </r>
  <r>
    <x v="108"/>
    <x v="250"/>
    <s v="Договор купли-продажи"/>
    <d v="2016-10-01T00:00:00"/>
    <d v="2016-10-01T00:00:00"/>
    <n v="1412800"/>
    <n v="26456.93"/>
    <n v="1"/>
    <s v="Ипотека"/>
    <s v="Квартира"/>
    <m/>
    <x v="16"/>
    <m/>
    <n v="9"/>
    <n v="2"/>
    <n v="2016"/>
  </r>
  <r>
    <x v="108"/>
    <x v="250"/>
    <s v="Договор купли-продажи"/>
    <d v="2016-10-01T00:00:00"/>
    <d v="2016-10-01T00:00:00"/>
    <n v="1412800"/>
    <n v="26456.93"/>
    <n v="1"/>
    <s v="Ипотека"/>
    <s v="Квартира"/>
    <m/>
    <x v="16"/>
    <m/>
    <n v="9"/>
    <n v="2"/>
    <n v="2016"/>
  </r>
  <r>
    <x v="112"/>
    <x v="67"/>
    <s v="Договор купли-продажи"/>
    <d v="2016-12-01T00:00:00"/>
    <d v="2016-12-01T00:00:00"/>
    <n v="1200000"/>
    <n v="26548.67"/>
    <n v="1"/>
    <s v="Ипотека"/>
    <s v="Квартира"/>
    <m/>
    <x v="16"/>
    <m/>
    <n v="9"/>
    <n v="1"/>
    <n v="2016"/>
  </r>
  <r>
    <x v="118"/>
    <x v="51"/>
    <s v="Договор купли-продажи"/>
    <d v="2016-12-01T00:00:00"/>
    <d v="2016-12-01T00:00:00"/>
    <n v="1880000"/>
    <n v="26628.9"/>
    <n v="1"/>
    <s v="Ипотека"/>
    <s v="Квартира"/>
    <m/>
    <x v="16"/>
    <m/>
    <n v="5"/>
    <n v="1"/>
    <n v="2011"/>
  </r>
  <r>
    <x v="115"/>
    <x v="2"/>
    <s v="Договор купли-продажи"/>
    <d v="2016-11-01T00:00:00"/>
    <d v="2016-11-01T00:00:00"/>
    <n v="800000"/>
    <n v="26666.67"/>
    <n v="1"/>
    <s v="Ипотека"/>
    <s v="Квартира"/>
    <m/>
    <x v="16"/>
    <m/>
    <n v="5"/>
    <n v="1"/>
    <n v="2006"/>
  </r>
  <r>
    <x v="118"/>
    <x v="180"/>
    <s v="Договор купли-продажи"/>
    <d v="2017-02-01T00:00:00"/>
    <d v="2017-02-01T00:00:00"/>
    <n v="1080000"/>
    <n v="26666.67"/>
    <n v="1"/>
    <s v="Ипотека"/>
    <s v="Квартира"/>
    <m/>
    <x v="16"/>
    <s v="Социалистическая"/>
    <n v="6"/>
    <n v="2"/>
    <n v="2007"/>
  </r>
  <r>
    <x v="118"/>
    <x v="180"/>
    <s v="Договор купли-продажи"/>
    <d v="2017-02-01T00:00:00"/>
    <d v="2017-02-01T00:00:00"/>
    <n v="1080000"/>
    <n v="26666.67"/>
    <n v="1"/>
    <s v="Ипотека"/>
    <s v="Квартира"/>
    <m/>
    <x v="16"/>
    <s v="Социалистическая"/>
    <n v="6"/>
    <n v="2"/>
    <n v="2007"/>
  </r>
  <r>
    <x v="112"/>
    <x v="46"/>
    <s v="Договор купли-продажи"/>
    <d v="2016-12-01T00:00:00"/>
    <d v="2016-12-01T00:00:00"/>
    <n v="878400"/>
    <n v="26780.49"/>
    <n v="1"/>
    <s v="Ипотека"/>
    <s v="Квартира"/>
    <m/>
    <x v="16"/>
    <m/>
    <n v="9"/>
    <n v="1"/>
    <n v="2016"/>
  </r>
  <r>
    <x v="109"/>
    <x v="251"/>
    <s v="Договор купли-продажи"/>
    <d v="2016-10-01T00:00:00"/>
    <d v="2016-11-01T00:00:00"/>
    <n v="1200000"/>
    <n v="26785.71"/>
    <n v="1"/>
    <s v="Ипотека"/>
    <s v="Квартира"/>
    <m/>
    <x v="16"/>
    <m/>
    <n v="4"/>
    <n v="1"/>
    <n v="2016"/>
  </r>
  <r>
    <x v="115"/>
    <x v="251"/>
    <s v="Договор купли-продажи"/>
    <d v="2016-11-01T00:00:00"/>
    <d v="2016-11-01T00:00:00"/>
    <n v="1200000"/>
    <n v="26785.71"/>
    <n v="1"/>
    <s v="Ипотека"/>
    <s v="Квартира"/>
    <m/>
    <x v="16"/>
    <s v="Социалистическая"/>
    <n v="4"/>
    <n v="2"/>
    <n v="2002"/>
  </r>
  <r>
    <x v="115"/>
    <x v="251"/>
    <s v="Договор купли-продажи"/>
    <d v="2016-11-01T00:00:00"/>
    <d v="2016-11-01T00:00:00"/>
    <n v="1200000"/>
    <n v="26785.71"/>
    <n v="1"/>
    <s v="Ипотека"/>
    <s v="Квартира"/>
    <m/>
    <x v="16"/>
    <s v="Социалистическая"/>
    <n v="4"/>
    <n v="2"/>
    <n v="2002"/>
  </r>
  <r>
    <x v="116"/>
    <x v="252"/>
    <s v="Договор купли-продажи"/>
    <d v="2016-10-01T00:00:00"/>
    <d v="2016-11-01T00:00:00"/>
    <n v="1400000"/>
    <n v="26871.4"/>
    <n v="1"/>
    <s v="Ипотека"/>
    <s v="Квартира"/>
    <m/>
    <x v="16"/>
    <s v="Дорожная"/>
    <n v="5"/>
    <n v="1"/>
    <n v="2016"/>
  </r>
  <r>
    <x v="115"/>
    <x v="156"/>
    <s v="Договор купли-продажи"/>
    <d v="2016-11-01T00:00:00"/>
    <d v="2016-11-01T00:00:00"/>
    <n v="1650000"/>
    <n v="26872.959999999999"/>
    <n v="1"/>
    <s v="Ипотека"/>
    <s v="Квартира"/>
    <m/>
    <x v="16"/>
    <s v="Юбилейный"/>
    <n v="3"/>
    <n v="1"/>
    <n v="2009"/>
  </r>
  <r>
    <x v="116"/>
    <x v="242"/>
    <s v="Договор купли-продажи"/>
    <d v="2016-11-01T00:00:00"/>
    <d v="2016-11-01T00:00:00"/>
    <n v="1691850"/>
    <n v="26983.25"/>
    <n v="1"/>
    <s v="Ипотека"/>
    <s v="Квартира"/>
    <m/>
    <x v="16"/>
    <s v="Строителей"/>
    <n v="7"/>
    <n v="1"/>
    <n v="2016"/>
  </r>
  <r>
    <x v="124"/>
    <x v="253"/>
    <s v="Договор купли-продажи"/>
    <d v="2016-10-01T00:00:00"/>
    <d v="2016-10-01T00:00:00"/>
    <n v="1360000"/>
    <n v="26984.13"/>
    <n v="1"/>
    <s v="Ипотека"/>
    <s v="Квартира"/>
    <m/>
    <x v="16"/>
    <m/>
    <n v="2"/>
    <n v="2"/>
    <n v="2016"/>
  </r>
  <r>
    <x v="124"/>
    <x v="253"/>
    <s v="Договор купли-продажи"/>
    <d v="2016-10-01T00:00:00"/>
    <d v="2016-10-01T00:00:00"/>
    <n v="1360000"/>
    <n v="26984.13"/>
    <n v="1"/>
    <s v="Ипотека"/>
    <s v="Квартира"/>
    <m/>
    <x v="16"/>
    <m/>
    <n v="2"/>
    <n v="2"/>
    <n v="2016"/>
  </r>
  <r>
    <x v="110"/>
    <x v="159"/>
    <s v="Договор купли-продажи"/>
    <d v="2016-11-01T00:00:00"/>
    <d v="2016-11-01T00:00:00"/>
    <n v="1350000"/>
    <n v="27000"/>
    <n v="1"/>
    <s v="Ипотека"/>
    <s v="Квартира"/>
    <m/>
    <x v="16"/>
    <s v="Парковая"/>
    <n v="5"/>
    <n v="2"/>
    <n v="2006"/>
  </r>
  <r>
    <x v="110"/>
    <x v="159"/>
    <s v="Договор купли-продажи"/>
    <d v="2016-11-01T00:00:00"/>
    <d v="2016-11-01T00:00:00"/>
    <n v="1350000"/>
    <n v="27000"/>
    <n v="1"/>
    <s v="Ипотека"/>
    <s v="Квартира"/>
    <m/>
    <x v="16"/>
    <s v="Парковая"/>
    <n v="5"/>
    <n v="2"/>
    <n v="2006"/>
  </r>
  <r>
    <x v="116"/>
    <x v="254"/>
    <s v="Договор купли-продажи"/>
    <d v="2016-10-01T00:00:00"/>
    <d v="2016-10-01T00:00:00"/>
    <n v="1500000"/>
    <n v="27027.03"/>
    <n v="1"/>
    <s v="Ипотека"/>
    <s v="Квартира"/>
    <m/>
    <x v="16"/>
    <s v="Дорожная"/>
    <n v="6"/>
    <n v="2"/>
    <n v="2012"/>
  </r>
  <r>
    <x v="116"/>
    <x v="254"/>
    <s v="Договор купли-продажи"/>
    <d v="2016-10-01T00:00:00"/>
    <d v="2016-10-01T00:00:00"/>
    <n v="1500000"/>
    <n v="27027.03"/>
    <n v="1"/>
    <s v="Ипотека"/>
    <s v="Квартира"/>
    <m/>
    <x v="16"/>
    <s v="Дорожная"/>
    <n v="6"/>
    <n v="2"/>
    <n v="2012"/>
  </r>
  <r>
    <x v="113"/>
    <x v="255"/>
    <s v="Договор купли-продажи"/>
    <d v="2016-10-01T00:00:00"/>
    <d v="2016-10-01T00:00:00"/>
    <n v="1220000"/>
    <n v="27111.11"/>
    <n v="1"/>
    <s v="Ипотека"/>
    <s v="Квартира"/>
    <m/>
    <x v="16"/>
    <s v="Комсомольский"/>
    <n v="4"/>
    <n v="1"/>
    <n v="2010"/>
  </r>
  <r>
    <x v="108"/>
    <x v="73"/>
    <s v="Договор купли-продажи"/>
    <d v="2017-01-01T00:00:00"/>
    <d v="2017-01-01T00:00:00"/>
    <n v="765000"/>
    <n v="27127.66"/>
    <n v="1"/>
    <s v="Ипотека"/>
    <s v="Квартира"/>
    <m/>
    <x v="16"/>
    <m/>
    <n v="8"/>
    <n v="2"/>
    <n v="2016"/>
  </r>
  <r>
    <x v="108"/>
    <x v="73"/>
    <s v="Договор купли-продажи"/>
    <d v="2017-01-01T00:00:00"/>
    <d v="2017-01-01T00:00:00"/>
    <n v="765000"/>
    <n v="27127.66"/>
    <n v="1"/>
    <s v="Ипотека"/>
    <s v="Квартира"/>
    <m/>
    <x v="16"/>
    <m/>
    <n v="8"/>
    <n v="2"/>
    <n v="2016"/>
  </r>
  <r>
    <x v="114"/>
    <x v="60"/>
    <s v="Договор купли-продажи"/>
    <d v="2017-01-01T00:00:00"/>
    <d v="2017-01-01T00:00:00"/>
    <n v="1191700"/>
    <n v="27145.79"/>
    <n v="1"/>
    <s v="Ипотека"/>
    <s v="Квартира"/>
    <m/>
    <x v="16"/>
    <s v="Строителей"/>
    <n v="1"/>
    <n v="1"/>
    <n v="2013"/>
  </r>
  <r>
    <x v="117"/>
    <x v="52"/>
    <s v="Договор купли-продажи"/>
    <d v="2016-12-01T00:00:00"/>
    <d v="2016-12-01T00:00:00"/>
    <n v="1300000"/>
    <n v="27196.65"/>
    <n v="1"/>
    <s v="Ипотека"/>
    <s v="Квартира"/>
    <m/>
    <x v="16"/>
    <s v="Юбилейный"/>
    <n v="1"/>
    <n v="1"/>
    <n v="2006"/>
  </r>
  <r>
    <x v="115"/>
    <x v="143"/>
    <s v="Договор купли-продажи"/>
    <d v="2016-11-01T00:00:00"/>
    <d v="2016-11-01T00:00:00"/>
    <n v="1500000"/>
    <n v="27272.73"/>
    <n v="1"/>
    <s v="Ипотека"/>
    <s v="Квартира"/>
    <m/>
    <x v="16"/>
    <s v="Социалистическая"/>
    <n v="1"/>
    <n v="1"/>
    <n v="2006"/>
  </r>
  <r>
    <x v="108"/>
    <x v="256"/>
    <s v="Договор купли-продажи"/>
    <d v="2017-01-01T00:00:00"/>
    <d v="2017-01-01T00:00:00"/>
    <n v="1280000"/>
    <n v="27292.11"/>
    <n v="1"/>
    <s v="Ипотека"/>
    <s v="Квартира"/>
    <m/>
    <x v="16"/>
    <m/>
    <n v="4"/>
    <n v="2"/>
    <n v="2016"/>
  </r>
  <r>
    <x v="108"/>
    <x v="256"/>
    <s v="Договор купли-продажи"/>
    <d v="2017-01-01T00:00:00"/>
    <d v="2017-01-01T00:00:00"/>
    <n v="1280000"/>
    <n v="27292.11"/>
    <n v="1"/>
    <s v="Ипотека"/>
    <s v="Квартира"/>
    <m/>
    <x v="16"/>
    <m/>
    <n v="4"/>
    <n v="2"/>
    <n v="2016"/>
  </r>
  <r>
    <x v="109"/>
    <x v="257"/>
    <s v="Договор купли-продажи"/>
    <d v="2017-01-01T00:00:00"/>
    <d v="2017-01-01T00:00:00"/>
    <n v="9444000"/>
    <n v="27326.39"/>
    <n v="1"/>
    <s v="Ипотека"/>
    <s v="помещения"/>
    <m/>
    <x v="16"/>
    <m/>
    <m/>
    <n v="1"/>
    <n v="2016"/>
  </r>
  <r>
    <x v="118"/>
    <x v="83"/>
    <s v="Договор купли-продажи"/>
    <d v="2016-10-01T00:00:00"/>
    <d v="2016-10-01T00:00:00"/>
    <n v="1050000"/>
    <n v="27343.75"/>
    <n v="1"/>
    <s v="Ипотека"/>
    <s v="Квартира"/>
    <m/>
    <x v="16"/>
    <m/>
    <n v="5"/>
    <n v="2"/>
    <n v="2004"/>
  </r>
  <r>
    <x v="118"/>
    <x v="83"/>
    <s v="Договор купли-продажи"/>
    <d v="2016-10-01T00:00:00"/>
    <d v="2016-10-01T00:00:00"/>
    <n v="1050000"/>
    <n v="27343.75"/>
    <n v="1"/>
    <s v="Ипотека"/>
    <s v="Квартира"/>
    <m/>
    <x v="16"/>
    <m/>
    <n v="5"/>
    <n v="2"/>
    <n v="2004"/>
  </r>
  <r>
    <x v="118"/>
    <x v="220"/>
    <s v="Договор купли-продажи"/>
    <d v="2016-10-01T00:00:00"/>
    <d v="2016-10-01T00:00:00"/>
    <n v="960000"/>
    <n v="27428.57"/>
    <n v="1"/>
    <s v="Ипотека"/>
    <s v="Квартира"/>
    <m/>
    <x v="16"/>
    <s v="Дзержинского"/>
    <n v="2"/>
    <n v="1"/>
    <n v="2008"/>
  </r>
  <r>
    <x v="125"/>
    <x v="258"/>
    <s v="Договор купли-продажи"/>
    <d v="2017-02-01T00:00:00"/>
    <d v="2017-02-01T00:00:00"/>
    <n v="1224000"/>
    <n v="27505.62"/>
    <n v="1"/>
    <s v="Ипотека"/>
    <s v="Квартира"/>
    <m/>
    <x v="16"/>
    <s v="Кувыкина"/>
    <n v="5"/>
    <n v="2"/>
    <n v="2004"/>
  </r>
  <r>
    <x v="125"/>
    <x v="258"/>
    <s v="Договор купли-продажи"/>
    <d v="2017-02-01T00:00:00"/>
    <d v="2017-02-01T00:00:00"/>
    <n v="1224000"/>
    <n v="27505.62"/>
    <n v="1"/>
    <s v="Ипотека"/>
    <s v="Квартира"/>
    <m/>
    <x v="16"/>
    <s v="Кувыкина"/>
    <n v="5"/>
    <n v="2"/>
    <n v="2004"/>
  </r>
  <r>
    <x v="121"/>
    <x v="259"/>
    <s v="Договор купли-продажи"/>
    <d v="2017-02-01T00:00:00"/>
    <d v="2017-02-01T00:00:00"/>
    <n v="1460000"/>
    <n v="27547.17"/>
    <n v="1"/>
    <s v="Ипотека"/>
    <s v="Квартира"/>
    <m/>
    <x v="16"/>
    <m/>
    <n v="7"/>
    <n v="2"/>
    <n v="2005"/>
  </r>
  <r>
    <x v="121"/>
    <x v="259"/>
    <s v="Договор купли-продажи"/>
    <d v="2017-02-01T00:00:00"/>
    <d v="2017-02-01T00:00:00"/>
    <n v="1460000"/>
    <n v="27547.17"/>
    <n v="1"/>
    <s v="Ипотека"/>
    <s v="Квартира"/>
    <m/>
    <x v="16"/>
    <m/>
    <n v="7"/>
    <n v="2"/>
    <n v="2005"/>
  </r>
  <r>
    <x v="122"/>
    <x v="235"/>
    <s v="Договор купли-продажи"/>
    <d v="2016-11-01T00:00:00"/>
    <d v="2016-11-01T00:00:00"/>
    <n v="1600000"/>
    <n v="27586.21"/>
    <n v="1"/>
    <s v="Ипотека"/>
    <s v="Квартира"/>
    <m/>
    <x v="16"/>
    <m/>
    <n v="2"/>
    <n v="2"/>
    <n v="2012"/>
  </r>
  <r>
    <x v="122"/>
    <x v="235"/>
    <s v="Договор купли-продажи"/>
    <d v="2016-11-01T00:00:00"/>
    <d v="2016-11-01T00:00:00"/>
    <n v="1600000"/>
    <n v="27586.21"/>
    <n v="1"/>
    <s v="Ипотека"/>
    <s v="Квартира"/>
    <m/>
    <x v="16"/>
    <m/>
    <n v="2"/>
    <n v="2"/>
    <n v="2012"/>
  </r>
  <r>
    <x v="111"/>
    <x v="260"/>
    <s v="Договор купли-продажи"/>
    <d v="2017-01-01T00:00:00"/>
    <d v="2017-02-01T00:00:00"/>
    <n v="850000"/>
    <n v="27597.4"/>
    <n v="1"/>
    <s v="Ипотека"/>
    <s v="Квартира"/>
    <m/>
    <x v="16"/>
    <s v="Дзержинского"/>
    <n v="3"/>
    <n v="2"/>
    <n v="2000"/>
  </r>
  <r>
    <x v="111"/>
    <x v="260"/>
    <s v="Договор купли-продажи"/>
    <d v="2017-01-01T00:00:00"/>
    <d v="2017-02-01T00:00:00"/>
    <n v="850000"/>
    <n v="27597.4"/>
    <n v="1"/>
    <s v="Ипотека"/>
    <s v="Квартира"/>
    <m/>
    <x v="16"/>
    <s v="Дзержинского"/>
    <n v="3"/>
    <n v="2"/>
    <n v="2000"/>
  </r>
  <r>
    <x v="114"/>
    <x v="192"/>
    <s v="Договор купли-продажи"/>
    <d v="2016-11-01T00:00:00"/>
    <d v="2016-11-01T00:00:00"/>
    <n v="1343000"/>
    <n v="27747.93"/>
    <n v="1"/>
    <s v="Ипотека"/>
    <s v="Квартира"/>
    <m/>
    <x v="16"/>
    <s v="Юбилейный"/>
    <n v="2"/>
    <n v="2"/>
    <n v="2007"/>
  </r>
  <r>
    <x v="114"/>
    <x v="192"/>
    <s v="Договор купли-продажи"/>
    <d v="2016-11-01T00:00:00"/>
    <d v="2016-11-01T00:00:00"/>
    <n v="1343000"/>
    <n v="27747.93"/>
    <n v="1"/>
    <s v="Ипотека"/>
    <s v="Квартира"/>
    <m/>
    <x v="16"/>
    <s v="Юбилейный"/>
    <n v="2"/>
    <n v="2"/>
    <n v="2007"/>
  </r>
  <r>
    <x v="124"/>
    <x v="63"/>
    <s v="Договор купли-продажи"/>
    <d v="2016-10-01T00:00:00"/>
    <d v="2016-10-01T00:00:00"/>
    <n v="1400000"/>
    <n v="27833"/>
    <n v="1"/>
    <s v="Ипотека"/>
    <s v="Квартира"/>
    <m/>
    <x v="16"/>
    <m/>
    <n v="8"/>
    <n v="2"/>
    <n v="2016"/>
  </r>
  <r>
    <x v="124"/>
    <x v="63"/>
    <s v="Договор купли-продажи"/>
    <d v="2016-10-01T00:00:00"/>
    <d v="2016-10-01T00:00:00"/>
    <n v="1400000"/>
    <n v="27833"/>
    <n v="1"/>
    <s v="Ипотека"/>
    <s v="Квартира"/>
    <m/>
    <x v="16"/>
    <m/>
    <n v="8"/>
    <n v="2"/>
    <n v="2016"/>
  </r>
  <r>
    <x v="126"/>
    <x v="63"/>
    <s v="Договор купли-продажи"/>
    <d v="2016-10-01T00:00:00"/>
    <d v="2016-10-01T00:00:00"/>
    <n v="1400000"/>
    <n v="27833"/>
    <n v="1"/>
    <s v="Ипотека"/>
    <s v="Квартира"/>
    <m/>
    <x v="16"/>
    <s v="Дорожная"/>
    <n v="2"/>
    <n v="2"/>
    <n v="2011"/>
  </r>
  <r>
    <x v="126"/>
    <x v="63"/>
    <s v="Договор купли-продажи"/>
    <d v="2016-10-01T00:00:00"/>
    <d v="2016-10-01T00:00:00"/>
    <n v="1400000"/>
    <n v="27833"/>
    <n v="1"/>
    <s v="Ипотека"/>
    <s v="Квартира"/>
    <m/>
    <x v="16"/>
    <s v="Дорожная"/>
    <n v="2"/>
    <n v="2"/>
    <n v="2011"/>
  </r>
  <r>
    <x v="122"/>
    <x v="261"/>
    <s v="Договор купли-продажи"/>
    <d v="2016-12-01T00:00:00"/>
    <d v="2016-12-01T00:00:00"/>
    <n v="1785000"/>
    <n v="27847.11"/>
    <n v="1"/>
    <s v="Ипотека"/>
    <s v="Квартира"/>
    <m/>
    <x v="16"/>
    <m/>
    <n v="10"/>
    <n v="1"/>
    <n v="2016"/>
  </r>
  <r>
    <x v="116"/>
    <x v="201"/>
    <s v="Договор купли-продажи"/>
    <d v="2016-12-01T00:00:00"/>
    <d v="2016-12-01T00:00:00"/>
    <n v="1000000"/>
    <n v="27855.15"/>
    <n v="1"/>
    <s v="Ипотека"/>
    <s v="Квартира"/>
    <m/>
    <x v="16"/>
    <s v="Социалистическая"/>
    <n v="1"/>
    <n v="1"/>
    <n v="2006"/>
  </r>
  <r>
    <x v="113"/>
    <x v="187"/>
    <s v="Договор купли-продажи"/>
    <d v="2016-10-01T00:00:00"/>
    <d v="2016-11-01T00:00:00"/>
    <n v="1232500"/>
    <n v="27884.62"/>
    <n v="1"/>
    <s v="Ипотека"/>
    <s v="Квартира"/>
    <m/>
    <x v="16"/>
    <s v="Социалистическая"/>
    <n v="4"/>
    <n v="2"/>
    <n v="2001"/>
  </r>
  <r>
    <x v="113"/>
    <x v="187"/>
    <s v="Договор купли-продажи"/>
    <d v="2016-10-01T00:00:00"/>
    <d v="2016-11-01T00:00:00"/>
    <n v="1232500"/>
    <n v="27884.62"/>
    <n v="1"/>
    <s v="Ипотека"/>
    <s v="Квартира"/>
    <m/>
    <x v="16"/>
    <s v="Социалистическая"/>
    <n v="4"/>
    <n v="2"/>
    <n v="2001"/>
  </r>
  <r>
    <x v="108"/>
    <x v="262"/>
    <s v="Договор купли-продажи"/>
    <d v="2016-11-01T00:00:00"/>
    <d v="2016-12-01T00:00:00"/>
    <n v="770000"/>
    <n v="27898.55"/>
    <n v="1"/>
    <s v="Ипотека"/>
    <s v="Квартира"/>
    <m/>
    <x v="16"/>
    <m/>
    <n v="7"/>
    <n v="1"/>
    <n v="2016"/>
  </r>
  <r>
    <x v="112"/>
    <x v="48"/>
    <s v="Договор купли-продажи"/>
    <d v="2016-11-01T00:00:00"/>
    <d v="2016-11-01T00:00:00"/>
    <n v="1000000"/>
    <n v="27932.959999999999"/>
    <n v="1"/>
    <s v="Ипотека"/>
    <s v="Квартира"/>
    <m/>
    <x v="16"/>
    <m/>
    <n v="5"/>
    <n v="1"/>
    <n v="1999"/>
  </r>
  <r>
    <x v="118"/>
    <x v="48"/>
    <s v="Договор купли-продажи"/>
    <d v="2016-12-01T00:00:00"/>
    <d v="2016-12-01T00:00:00"/>
    <n v="1000000"/>
    <n v="27932.959999999999"/>
    <n v="1"/>
    <s v="Ипотека"/>
    <s v="Квартира"/>
    <m/>
    <x v="16"/>
    <m/>
    <n v="4"/>
    <n v="1"/>
    <n v="2005"/>
  </r>
  <r>
    <x v="111"/>
    <x v="223"/>
    <s v="Договор купли-продажи"/>
    <d v="2017-02-01T00:00:00"/>
    <d v="2017-02-01T00:00:00"/>
    <n v="1580000"/>
    <n v="27964.6"/>
    <n v="1"/>
    <s v="Ипотека"/>
    <s v="Квартира"/>
    <m/>
    <x v="16"/>
    <m/>
    <n v="7"/>
    <n v="2"/>
    <n v="2001"/>
  </r>
  <r>
    <x v="111"/>
    <x v="223"/>
    <s v="Договор купли-продажи"/>
    <d v="2017-02-01T00:00:00"/>
    <d v="2017-02-01T00:00:00"/>
    <n v="1580000"/>
    <n v="27964.6"/>
    <n v="1"/>
    <s v="Ипотека"/>
    <s v="Квартира"/>
    <m/>
    <x v="16"/>
    <m/>
    <n v="7"/>
    <n v="2"/>
    <n v="2001"/>
  </r>
  <r>
    <x v="118"/>
    <x v="263"/>
    <s v="Договор купли-продажи"/>
    <d v="2016-11-01T00:00:00"/>
    <d v="2016-11-01T00:00:00"/>
    <n v="1500000"/>
    <n v="28037.38"/>
    <n v="1"/>
    <s v="Ипотека"/>
    <s v="Квартира"/>
    <m/>
    <x v="16"/>
    <m/>
    <n v="2"/>
    <n v="1"/>
    <n v="2000"/>
  </r>
  <r>
    <x v="114"/>
    <x v="264"/>
    <s v="Договор купли-продажи"/>
    <d v="2017-01-01T00:00:00"/>
    <d v="2017-01-01T00:00:00"/>
    <n v="1530000"/>
    <n v="28073.39"/>
    <n v="1"/>
    <s v="Ипотека"/>
    <s v="Квартира"/>
    <m/>
    <x v="16"/>
    <s v="Комсомольский"/>
    <n v="4"/>
    <n v="1"/>
    <n v="2013"/>
  </r>
  <r>
    <x v="115"/>
    <x v="265"/>
    <s v="Договор купли-продажи"/>
    <d v="2017-02-01T00:00:00"/>
    <d v="2017-02-01T00:00:00"/>
    <n v="1680000"/>
    <n v="28093.65"/>
    <n v="1"/>
    <s v="Ипотека"/>
    <s v="Квартира"/>
    <m/>
    <x v="16"/>
    <m/>
    <n v="3"/>
    <n v="1"/>
    <n v="2003"/>
  </r>
  <r>
    <x v="114"/>
    <x v="139"/>
    <s v="Договор купли-продажи"/>
    <d v="2016-12-01T00:00:00"/>
    <d v="2017-01-01T00:00:00"/>
    <n v="1152000"/>
    <n v="28097.56"/>
    <n v="1"/>
    <s v="Ипотека"/>
    <s v="Квартира"/>
    <m/>
    <x v="16"/>
    <s v="Социалистическая"/>
    <n v="4"/>
    <n v="1"/>
    <n v="2001"/>
  </r>
  <r>
    <x v="115"/>
    <x v="190"/>
    <s v="Договор купли-продажи"/>
    <d v="2016-11-01T00:00:00"/>
    <d v="2016-11-01T00:00:00"/>
    <n v="1280000"/>
    <n v="28131.87"/>
    <n v="1"/>
    <s v="Ипотека"/>
    <s v="Квартира"/>
    <m/>
    <x v="16"/>
    <m/>
    <n v="3"/>
    <n v="1"/>
    <n v="2007"/>
  </r>
  <r>
    <x v="121"/>
    <x v="266"/>
    <s v="Договор купли-продажи"/>
    <d v="2016-12-01T00:00:00"/>
    <d v="2017-01-01T00:00:00"/>
    <n v="1400000"/>
    <n v="28225.81"/>
    <n v="1"/>
    <s v="Ипотека"/>
    <s v="Квартира"/>
    <m/>
    <x v="16"/>
    <s v="Социалистическая"/>
    <n v="3"/>
    <n v="1"/>
    <n v="2001"/>
  </r>
  <r>
    <x v="114"/>
    <x v="267"/>
    <s v="Договор купли-продажи"/>
    <d v="2017-01-01T00:00:00"/>
    <d v="2017-02-01T00:00:00"/>
    <n v="2008407.86"/>
    <n v="28247.65"/>
    <n v="1"/>
    <s v="Ипотека"/>
    <s v="Квартира"/>
    <m/>
    <x v="16"/>
    <s v="Строителей"/>
    <n v="9"/>
    <n v="1"/>
    <n v="2010"/>
  </r>
  <r>
    <x v="112"/>
    <x v="268"/>
    <s v="Договор купли-продажи"/>
    <d v="2017-02-01T00:00:00"/>
    <d v="2017-02-01T00:00:00"/>
    <n v="1990000"/>
    <n v="28307.25"/>
    <n v="1"/>
    <s v="Ипотека"/>
    <s v="Квартира"/>
    <m/>
    <x v="16"/>
    <m/>
    <n v="4"/>
    <n v="2"/>
    <n v="2002"/>
  </r>
  <r>
    <x v="112"/>
    <x v="268"/>
    <s v="Договор купли-продажи"/>
    <d v="2017-02-01T00:00:00"/>
    <d v="2017-02-01T00:00:00"/>
    <n v="1990000"/>
    <n v="28307.25"/>
    <n v="1"/>
    <s v="Ипотека"/>
    <s v="Квартира"/>
    <m/>
    <x v="16"/>
    <m/>
    <n v="4"/>
    <n v="2"/>
    <n v="2002"/>
  </r>
  <r>
    <x v="118"/>
    <x v="269"/>
    <s v="Договор купли-продажи"/>
    <d v="2016-11-01T00:00:00"/>
    <d v="2016-11-01T00:00:00"/>
    <n v="1880000"/>
    <n v="28398.79"/>
    <n v="1"/>
    <s v="Ипотека"/>
    <s v="Квартира"/>
    <m/>
    <x v="16"/>
    <m/>
    <n v="1"/>
    <n v="1"/>
    <n v="2006"/>
  </r>
  <r>
    <x v="109"/>
    <x v="33"/>
    <s v="Договор купли-продажи"/>
    <d v="2016-10-01T00:00:00"/>
    <d v="2016-11-01T00:00:00"/>
    <n v="1450000"/>
    <n v="28487.23"/>
    <n v="1"/>
    <s v="Ипотека"/>
    <s v="Квартира"/>
    <m/>
    <x v="16"/>
    <s v="Парковая"/>
    <n v="2"/>
    <n v="2"/>
    <n v="2007"/>
  </r>
  <r>
    <x v="109"/>
    <x v="33"/>
    <s v="Договор купли-продажи"/>
    <d v="2016-10-01T00:00:00"/>
    <d v="2016-11-01T00:00:00"/>
    <n v="1450000"/>
    <n v="28487.23"/>
    <n v="1"/>
    <s v="Ипотека"/>
    <s v="Квартира"/>
    <m/>
    <x v="16"/>
    <s v="Парковая"/>
    <n v="2"/>
    <n v="2"/>
    <n v="2007"/>
  </r>
  <r>
    <x v="109"/>
    <x v="251"/>
    <s v="Договор купли-продажи"/>
    <d v="2017-02-01T00:00:00"/>
    <d v="2017-03-01T00:00:00"/>
    <n v="1280000"/>
    <n v="28571.43"/>
    <n v="1"/>
    <s v="Ипотека"/>
    <s v="Квартира"/>
    <m/>
    <x v="16"/>
    <m/>
    <n v="5"/>
    <n v="1"/>
    <n v="2011"/>
  </r>
  <r>
    <x v="114"/>
    <x v="78"/>
    <s v="Договор купли-продажи"/>
    <d v="2016-12-01T00:00:00"/>
    <d v="2016-12-01T00:00:00"/>
    <n v="1200000"/>
    <n v="28639.62"/>
    <n v="1"/>
    <s v="Ипотека"/>
    <s v="Квартира"/>
    <m/>
    <x v="16"/>
    <s v="Строителей"/>
    <n v="1"/>
    <n v="1"/>
    <n v="2008"/>
  </r>
  <r>
    <x v="116"/>
    <x v="141"/>
    <s v="Договор купли-продажи"/>
    <d v="2017-01-01T00:00:00"/>
    <d v="2017-01-01T00:00:00"/>
    <n v="1000000"/>
    <n v="28653.3"/>
    <n v="1"/>
    <s v="Ипотека"/>
    <s v="Квартира"/>
    <m/>
    <x v="16"/>
    <s v="Дорожная"/>
    <n v="5"/>
    <n v="1"/>
    <n v="2006"/>
  </r>
  <r>
    <x v="124"/>
    <x v="173"/>
    <s v="Договор купли-продажи"/>
    <d v="2016-10-01T00:00:00"/>
    <d v="2016-11-01T00:00:00"/>
    <n v="1240000"/>
    <n v="28703.7"/>
    <n v="1"/>
    <s v="Ипотека"/>
    <s v="Квартира"/>
    <m/>
    <x v="16"/>
    <s v="Энергетиков"/>
    <n v="9"/>
    <n v="1"/>
    <n v="2011"/>
  </r>
  <r>
    <x v="113"/>
    <x v="173"/>
    <s v="Договор купли-продажи"/>
    <d v="2016-12-01T00:00:00"/>
    <d v="2016-12-01T00:00:00"/>
    <n v="1240000"/>
    <n v="28703.7"/>
    <n v="1"/>
    <s v="Ипотека"/>
    <s v="Квартира"/>
    <m/>
    <x v="16"/>
    <m/>
    <n v="2"/>
    <n v="2"/>
    <n v="2006"/>
  </r>
  <r>
    <x v="113"/>
    <x v="173"/>
    <s v="Договор купли-продажи"/>
    <d v="2016-12-01T00:00:00"/>
    <d v="2016-12-01T00:00:00"/>
    <n v="1240000"/>
    <n v="28703.7"/>
    <n v="1"/>
    <s v="Ипотека"/>
    <s v="Квартира"/>
    <m/>
    <x v="16"/>
    <m/>
    <n v="2"/>
    <n v="2"/>
    <n v="2006"/>
  </r>
  <r>
    <x v="124"/>
    <x v="270"/>
    <s v="Договор купли-продажи"/>
    <d v="2017-01-01T00:00:00"/>
    <d v="2017-01-01T00:00:00"/>
    <n v="1900000"/>
    <n v="28744.33"/>
    <n v="1"/>
    <s v="Ипотека"/>
    <s v="Квартира"/>
    <m/>
    <x v="16"/>
    <m/>
    <n v="2"/>
    <n v="1"/>
    <n v="2005"/>
  </r>
  <r>
    <x v="116"/>
    <x v="67"/>
    <s v="Договор купли-продажи"/>
    <d v="2016-10-01T00:00:00"/>
    <d v="2016-10-01T00:00:00"/>
    <n v="1300000"/>
    <n v="28761.06"/>
    <n v="1"/>
    <s v="Ипотека"/>
    <s v="Квартира"/>
    <m/>
    <x v="16"/>
    <s v="Дорожная"/>
    <n v="6"/>
    <n v="1"/>
    <n v="2013"/>
  </r>
  <r>
    <x v="109"/>
    <x v="271"/>
    <s v="Договор купли-продажи"/>
    <d v="2016-12-01T00:00:00"/>
    <d v="2016-12-01T00:00:00"/>
    <n v="900000"/>
    <n v="28938.91"/>
    <n v="1"/>
    <s v="Ипотека"/>
    <s v="Квартира"/>
    <m/>
    <x v="16"/>
    <m/>
    <n v="4"/>
    <n v="1"/>
    <n v="2004"/>
  </r>
  <r>
    <x v="119"/>
    <x v="272"/>
    <s v="Договор купли-продажи"/>
    <d v="2016-12-01T00:00:00"/>
    <d v="2016-12-01T00:00:00"/>
    <n v="1100000"/>
    <n v="28947.37"/>
    <n v="1"/>
    <s v="Ипотека"/>
    <s v="Квартира"/>
    <m/>
    <x v="16"/>
    <s v="Комсомольский"/>
    <n v="7"/>
    <n v="1"/>
    <n v="2015"/>
  </r>
  <r>
    <x v="115"/>
    <x v="187"/>
    <s v="Договор купли-продажи"/>
    <d v="2017-01-01T00:00:00"/>
    <d v="2017-02-01T00:00:00"/>
    <n v="1280000"/>
    <n v="28959.279999999999"/>
    <n v="1"/>
    <s v="Ипотека"/>
    <s v="Квартира"/>
    <m/>
    <x v="16"/>
    <s v="Юбилейный"/>
    <n v="5"/>
    <n v="1"/>
    <n v="2000"/>
  </r>
  <r>
    <x v="108"/>
    <x v="25"/>
    <s v="Договор купли-продажи"/>
    <d v="2016-11-01T00:00:00"/>
    <d v="2016-11-01T00:00:00"/>
    <n v="1257200"/>
    <n v="28967.74"/>
    <n v="1"/>
    <s v="Ипотека"/>
    <s v="Квартира"/>
    <m/>
    <x v="16"/>
    <m/>
    <n v="9"/>
    <n v="1"/>
    <n v="2016"/>
  </r>
  <r>
    <x v="121"/>
    <x v="273"/>
    <s v="Договор купли-продажи"/>
    <d v="2016-12-01T00:00:00"/>
    <d v="2016-12-01T00:00:00"/>
    <n v="1000000"/>
    <n v="29069.77"/>
    <n v="1"/>
    <s v="Ипотека"/>
    <s v="Квартира"/>
    <m/>
    <x v="16"/>
    <m/>
    <n v="5"/>
    <n v="1"/>
    <n v="2002"/>
  </r>
  <r>
    <x v="124"/>
    <x v="274"/>
    <s v="Договор купли-продажи"/>
    <d v="2016-12-01T00:00:00"/>
    <d v="2016-12-01T00:00:00"/>
    <n v="1100000"/>
    <n v="29100.53"/>
    <n v="1"/>
    <s v="Ипотека"/>
    <s v="Квартира"/>
    <m/>
    <x v="16"/>
    <m/>
    <n v="2"/>
    <n v="1"/>
    <n v="2011"/>
  </r>
  <r>
    <x v="111"/>
    <x v="275"/>
    <s v="Договор купли-продажи"/>
    <d v="2017-02-01T00:00:00"/>
    <d v="2017-02-01T00:00:00"/>
    <n v="1040000"/>
    <n v="29131.65"/>
    <n v="1"/>
    <s v="Ипотека"/>
    <s v="Квартира"/>
    <m/>
    <x v="16"/>
    <m/>
    <n v="4"/>
    <n v="1"/>
    <n v="2017"/>
  </r>
  <r>
    <x v="113"/>
    <x v="9"/>
    <s v="Договор купли-продажи"/>
    <d v="2016-11-01T00:00:00"/>
    <d v="2016-12-01T00:00:00"/>
    <n v="880000"/>
    <n v="29139.07"/>
    <n v="1"/>
    <s v="Ипотека"/>
    <s v="Квартира"/>
    <m/>
    <x v="16"/>
    <s v="Дорожная"/>
    <n v="3"/>
    <n v="2"/>
    <n v="2002"/>
  </r>
  <r>
    <x v="113"/>
    <x v="9"/>
    <s v="Договор купли-продажи"/>
    <d v="2016-11-01T00:00:00"/>
    <d v="2016-12-01T00:00:00"/>
    <n v="880000"/>
    <n v="29139.07"/>
    <n v="1"/>
    <s v="Ипотека"/>
    <s v="Квартира"/>
    <m/>
    <x v="16"/>
    <s v="Дорожная"/>
    <n v="3"/>
    <n v="2"/>
    <n v="2002"/>
  </r>
  <r>
    <x v="116"/>
    <x v="276"/>
    <s v="Договор купли-продажи"/>
    <d v="2016-12-01T00:00:00"/>
    <d v="2016-12-01T00:00:00"/>
    <n v="2443690"/>
    <n v="29195.82"/>
    <n v="1"/>
    <s v="Ипотека"/>
    <s v="Квартира"/>
    <m/>
    <x v="16"/>
    <s v="Дорожная"/>
    <n v="1"/>
    <n v="2"/>
    <n v="2013"/>
  </r>
  <r>
    <x v="116"/>
    <x v="276"/>
    <s v="Договор купли-продажи"/>
    <d v="2016-12-01T00:00:00"/>
    <d v="2016-12-01T00:00:00"/>
    <n v="2443690"/>
    <n v="29195.82"/>
    <n v="1"/>
    <s v="Ипотека"/>
    <s v="Квартира"/>
    <m/>
    <x v="16"/>
    <s v="Дорожная"/>
    <n v="1"/>
    <n v="2"/>
    <n v="2013"/>
  </r>
  <r>
    <x v="116"/>
    <x v="277"/>
    <s v="Договор купли-продажи"/>
    <d v="2016-11-01T00:00:00"/>
    <d v="2016-11-01T00:00:00"/>
    <n v="1848000"/>
    <n v="29240.51"/>
    <n v="1"/>
    <s v="Ипотека"/>
    <s v="Квартира"/>
    <m/>
    <x v="16"/>
    <m/>
    <n v="10"/>
    <n v="2"/>
    <n v="2016"/>
  </r>
  <r>
    <x v="116"/>
    <x v="277"/>
    <s v="Договор купли-продажи"/>
    <d v="2016-11-01T00:00:00"/>
    <d v="2016-11-01T00:00:00"/>
    <n v="1848000"/>
    <n v="29240.51"/>
    <n v="1"/>
    <s v="Ипотека"/>
    <s v="Квартира"/>
    <m/>
    <x v="16"/>
    <m/>
    <n v="10"/>
    <n v="2"/>
    <n v="2016"/>
  </r>
  <r>
    <x v="117"/>
    <x v="52"/>
    <s v="Договор купли-продажи"/>
    <d v="2016-12-01T00:00:00"/>
    <d v="2016-12-01T00:00:00"/>
    <n v="1400000"/>
    <n v="29288.7"/>
    <n v="1"/>
    <s v="Ипотека"/>
    <s v="Квартира"/>
    <m/>
    <x v="16"/>
    <s v="Юбилейный"/>
    <n v="2"/>
    <n v="1"/>
    <n v="2003"/>
  </r>
  <r>
    <x v="115"/>
    <x v="136"/>
    <s v="Договор купли-продажи"/>
    <d v="2017-02-01T00:00:00"/>
    <d v="2017-02-01T00:00:00"/>
    <n v="1210000"/>
    <n v="29297.82"/>
    <n v="1"/>
    <s v="Ипотека"/>
    <s v="Квартира"/>
    <m/>
    <x v="16"/>
    <m/>
    <n v="4"/>
    <n v="1"/>
    <n v="2017"/>
  </r>
  <r>
    <x v="115"/>
    <x v="200"/>
    <s v="Договор купли-продажи"/>
    <d v="2016-12-01T00:00:00"/>
    <d v="2016-12-01T00:00:00"/>
    <n v="1260000"/>
    <n v="29302.33"/>
    <n v="1"/>
    <s v="Ипотека"/>
    <s v="Квартира"/>
    <m/>
    <x v="16"/>
    <m/>
    <n v="2"/>
    <n v="1"/>
    <n v="2004"/>
  </r>
  <r>
    <x v="122"/>
    <x v="278"/>
    <s v="Договор купли-продажи"/>
    <d v="2016-10-01T00:00:00"/>
    <d v="2016-10-01T00:00:00"/>
    <n v="1875000"/>
    <n v="29434.85"/>
    <n v="1"/>
    <s v="Ипотека"/>
    <s v="Квартира"/>
    <m/>
    <x v="16"/>
    <m/>
    <n v="7"/>
    <n v="2"/>
    <n v="2016"/>
  </r>
  <r>
    <x v="122"/>
    <x v="278"/>
    <s v="Договор купли-продажи"/>
    <d v="2016-10-01T00:00:00"/>
    <d v="2016-10-01T00:00:00"/>
    <n v="1875000"/>
    <n v="29434.85"/>
    <n v="1"/>
    <s v="Ипотека"/>
    <s v="Квартира"/>
    <m/>
    <x v="16"/>
    <m/>
    <n v="7"/>
    <n v="2"/>
    <n v="2016"/>
  </r>
  <r>
    <x v="115"/>
    <x v="279"/>
    <s v="Договор купли-продажи"/>
    <d v="2016-11-01T00:00:00"/>
    <d v="2016-11-01T00:00:00"/>
    <n v="748000"/>
    <n v="29448.82"/>
    <n v="1"/>
    <s v="Ипотека"/>
    <s v="Квартира"/>
    <m/>
    <x v="16"/>
    <s v="Социалистическая"/>
    <n v="5"/>
    <n v="1"/>
    <n v="2006"/>
  </r>
  <r>
    <x v="113"/>
    <x v="45"/>
    <s v="Договор купли-продажи"/>
    <d v="2016-12-01T00:00:00"/>
    <d v="2016-12-01T00:00:00"/>
    <n v="1260000"/>
    <n v="29647.06"/>
    <n v="1"/>
    <s v="Ипотека"/>
    <s v="Квартира"/>
    <m/>
    <x v="16"/>
    <m/>
    <n v="6"/>
    <n v="1"/>
    <n v="2015"/>
  </r>
  <r>
    <x v="110"/>
    <x v="280"/>
    <s v="Договор купли-продажи"/>
    <d v="2016-09-01T00:00:00"/>
    <d v="2016-10-01T00:00:00"/>
    <n v="1600000"/>
    <n v="29739.78"/>
    <n v="1"/>
    <s v="Ипотека"/>
    <s v="Квартира"/>
    <m/>
    <x v="16"/>
    <s v="Парковая"/>
    <n v="7"/>
    <n v="2"/>
    <n v="2001"/>
  </r>
  <r>
    <x v="110"/>
    <x v="280"/>
    <s v="Договор купли-продажи"/>
    <d v="2016-09-01T00:00:00"/>
    <d v="2016-10-01T00:00:00"/>
    <n v="1600000"/>
    <n v="29739.78"/>
    <n v="1"/>
    <s v="Ипотека"/>
    <s v="Квартира"/>
    <m/>
    <x v="16"/>
    <s v="Парковая"/>
    <n v="7"/>
    <n v="2"/>
    <n v="2001"/>
  </r>
  <r>
    <x v="127"/>
    <x v="21"/>
    <s v="Договор купли-продажи"/>
    <d v="2016-12-01T00:00:00"/>
    <d v="2016-12-01T00:00:00"/>
    <n v="1200000"/>
    <n v="29776.67"/>
    <n v="1"/>
    <s v="Ипотека"/>
    <s v="Квартира"/>
    <m/>
    <x v="16"/>
    <s v="Трактовая"/>
    <n v="4"/>
    <n v="1"/>
    <n v="2004"/>
  </r>
  <r>
    <x v="110"/>
    <x v="281"/>
    <s v="Договор купли-продажи"/>
    <d v="2016-12-01T00:00:00"/>
    <d v="2016-12-01T00:00:00"/>
    <n v="1150000"/>
    <n v="29792.75"/>
    <n v="1"/>
    <s v="Ипотека"/>
    <s v="Квартира"/>
    <m/>
    <x v="16"/>
    <m/>
    <n v="4"/>
    <n v="1"/>
    <n v="2007"/>
  </r>
  <r>
    <x v="121"/>
    <x v="216"/>
    <s v="Договор купли-продажи"/>
    <d v="2017-02-01T00:00:00"/>
    <d v="2017-02-01T00:00:00"/>
    <n v="1050000"/>
    <n v="29829.55"/>
    <n v="1"/>
    <s v="Ипотека"/>
    <s v="Квартира"/>
    <m/>
    <x v="16"/>
    <s v="Социалистическая"/>
    <n v="4"/>
    <n v="1"/>
    <n v="2009"/>
  </r>
  <r>
    <x v="128"/>
    <x v="249"/>
    <s v="Договор купли-продажи"/>
    <d v="2016-10-01T00:00:00"/>
    <d v="2016-11-01T00:00:00"/>
    <n v="904000"/>
    <n v="29834.98"/>
    <n v="1"/>
    <s v="Ипотека"/>
    <s v="Квартира"/>
    <m/>
    <x v="16"/>
    <s v="Юбилейный"/>
    <n v="6"/>
    <n v="1"/>
    <n v="2001"/>
  </r>
  <r>
    <x v="108"/>
    <x v="43"/>
    <s v="Договор купли-продажи"/>
    <d v="2017-01-01T00:00:00"/>
    <d v="2017-02-01T00:00:00"/>
    <n v="1090000"/>
    <n v="29863.01"/>
    <n v="1"/>
    <s v="Ипотека"/>
    <s v="Квартира"/>
    <m/>
    <x v="16"/>
    <s v="Комсомольский"/>
    <n v="3"/>
    <n v="2"/>
    <n v="2016"/>
  </r>
  <r>
    <x v="108"/>
    <x v="43"/>
    <s v="Договор купли-продажи"/>
    <d v="2017-01-01T00:00:00"/>
    <d v="2017-02-01T00:00:00"/>
    <n v="1090000"/>
    <n v="29863.01"/>
    <n v="1"/>
    <s v="Ипотека"/>
    <s v="Квартира"/>
    <m/>
    <x v="16"/>
    <s v="Комсомольский"/>
    <n v="3"/>
    <n v="2"/>
    <n v="2016"/>
  </r>
  <r>
    <x v="118"/>
    <x v="34"/>
    <s v="Договор купли-продажи"/>
    <d v="2016-10-01T00:00:00"/>
    <d v="2016-10-01T00:00:00"/>
    <n v="1040000"/>
    <n v="29885.06"/>
    <n v="1"/>
    <s v="Ипотека"/>
    <s v="Квартира"/>
    <m/>
    <x v="16"/>
    <s v="Социалистическая"/>
    <n v="9"/>
    <n v="1"/>
    <n v="2004"/>
  </r>
  <r>
    <x v="108"/>
    <x v="29"/>
    <s v="Договор купли-продажи"/>
    <d v="2017-02-01T00:00:00"/>
    <d v="2017-02-01T00:00:00"/>
    <n v="1411000"/>
    <n v="29894.07"/>
    <n v="1"/>
    <s v="Ипотека"/>
    <s v="Квартира"/>
    <m/>
    <x v="16"/>
    <m/>
    <n v="8"/>
    <n v="1"/>
    <n v="2017"/>
  </r>
  <r>
    <x v="116"/>
    <x v="282"/>
    <s v="Договор купли-продажи"/>
    <d v="2016-12-01T00:00:00"/>
    <d v="2016-12-01T00:00:00"/>
    <n v="2168640"/>
    <n v="29912.28"/>
    <n v="1"/>
    <s v="Ипотека"/>
    <s v="Квартира"/>
    <m/>
    <x v="16"/>
    <s v="Нефтяников"/>
    <n v="5"/>
    <n v="2"/>
    <n v="2016"/>
  </r>
  <r>
    <x v="116"/>
    <x v="282"/>
    <s v="Договор купли-продажи"/>
    <d v="2016-12-01T00:00:00"/>
    <d v="2016-12-01T00:00:00"/>
    <n v="2168640"/>
    <n v="29912.28"/>
    <n v="1"/>
    <s v="Ипотека"/>
    <s v="Квартира"/>
    <m/>
    <x v="16"/>
    <s v="Нефтяников"/>
    <n v="5"/>
    <n v="2"/>
    <n v="2016"/>
  </r>
  <r>
    <x v="114"/>
    <x v="2"/>
    <s v="Договор купли-продажи"/>
    <d v="2016-11-01T00:00:00"/>
    <d v="2016-11-01T00:00:00"/>
    <n v="898000"/>
    <n v="29933.33"/>
    <n v="1"/>
    <s v="Ипотека"/>
    <s v="Квартира"/>
    <m/>
    <x v="16"/>
    <s v="Строителей"/>
    <n v="2"/>
    <n v="1"/>
    <n v="2013"/>
  </r>
  <r>
    <x v="111"/>
    <x v="266"/>
    <s v="Договор купли-продажи"/>
    <d v="2016-10-01T00:00:00"/>
    <d v="2016-10-01T00:00:00"/>
    <n v="1485000"/>
    <n v="29939.52"/>
    <n v="1"/>
    <s v="Ипотека"/>
    <s v="Квартира"/>
    <m/>
    <x v="16"/>
    <m/>
    <n v="2"/>
    <n v="2"/>
    <n v="2016"/>
  </r>
  <r>
    <x v="111"/>
    <x v="266"/>
    <s v="Договор купли-продажи"/>
    <d v="2016-10-01T00:00:00"/>
    <d v="2016-10-01T00:00:00"/>
    <n v="1485000"/>
    <n v="29939.52"/>
    <n v="1"/>
    <s v="Ипотека"/>
    <s v="Квартира"/>
    <m/>
    <x v="16"/>
    <m/>
    <n v="2"/>
    <n v="2"/>
    <n v="2016"/>
  </r>
  <r>
    <x v="124"/>
    <x v="283"/>
    <s v="Договор купли-продажи"/>
    <d v="2016-12-01T00:00:00"/>
    <d v="2016-12-01T00:00:00"/>
    <n v="1120000"/>
    <n v="30026.81"/>
    <n v="1"/>
    <s v="Ипотека"/>
    <s v="Квартира"/>
    <m/>
    <x v="16"/>
    <s v="Березовское"/>
    <n v="6"/>
    <n v="1"/>
    <n v="2015"/>
  </r>
  <r>
    <x v="108"/>
    <x v="284"/>
    <s v="Договор купли-продажи"/>
    <d v="2016-10-01T00:00:00"/>
    <d v="2016-10-01T00:00:00"/>
    <n v="2273000"/>
    <n v="30105.96"/>
    <n v="1"/>
    <s v="Ипотека"/>
    <s v="Квартира"/>
    <m/>
    <x v="16"/>
    <m/>
    <n v="8"/>
    <n v="2"/>
    <n v="2016"/>
  </r>
  <r>
    <x v="108"/>
    <x v="284"/>
    <s v="Договор купли-продажи"/>
    <d v="2016-10-01T00:00:00"/>
    <d v="2016-10-01T00:00:00"/>
    <n v="2273000"/>
    <n v="30105.96"/>
    <n v="1"/>
    <s v="Ипотека"/>
    <s v="Квартира"/>
    <m/>
    <x v="16"/>
    <m/>
    <n v="8"/>
    <n v="2"/>
    <n v="2016"/>
  </r>
  <r>
    <x v="110"/>
    <x v="285"/>
    <s v="Договор купли-продажи"/>
    <d v="2017-02-01T00:00:00"/>
    <d v="2017-02-01T00:00:00"/>
    <n v="1000000"/>
    <n v="30120.48"/>
    <n v="1"/>
    <s v="Ипотека"/>
    <s v="Квартира"/>
    <m/>
    <x v="16"/>
    <s v="Дорожная"/>
    <n v="7"/>
    <n v="1"/>
    <n v="2002"/>
  </r>
  <r>
    <x v="113"/>
    <x v="77"/>
    <s v="Договор купли-продажи"/>
    <d v="2016-10-01T00:00:00"/>
    <d v="2016-10-01T00:00:00"/>
    <n v="1299650"/>
    <n v="30154.29"/>
    <n v="1"/>
    <s v="Ипотека"/>
    <s v="Квартира"/>
    <m/>
    <x v="16"/>
    <s v="Комсомольский"/>
    <n v="3"/>
    <n v="2"/>
    <n v="2007"/>
  </r>
  <r>
    <x v="113"/>
    <x v="77"/>
    <s v="Договор купли-продажи"/>
    <d v="2016-10-01T00:00:00"/>
    <d v="2016-10-01T00:00:00"/>
    <n v="1299650"/>
    <n v="30154.29"/>
    <n v="1"/>
    <s v="Ипотека"/>
    <s v="Квартира"/>
    <m/>
    <x v="16"/>
    <s v="Комсомольский"/>
    <n v="3"/>
    <n v="2"/>
    <n v="2007"/>
  </r>
  <r>
    <x v="113"/>
    <x v="236"/>
    <s v="Договор купли-продажи"/>
    <d v="2016-11-01T00:00:00"/>
    <d v="2016-11-01T00:00:00"/>
    <n v="1840000"/>
    <n v="30163.93"/>
    <n v="1"/>
    <s v="Ипотека"/>
    <s v="Квартира"/>
    <m/>
    <x v="16"/>
    <m/>
    <n v="4"/>
    <n v="1"/>
    <n v="2016"/>
  </r>
  <r>
    <x v="109"/>
    <x v="58"/>
    <s v="Договор купли-продажи"/>
    <d v="2017-01-01T00:00:00"/>
    <d v="2017-01-01T00:00:00"/>
    <n v="900000"/>
    <n v="30201.34"/>
    <n v="1"/>
    <s v="Ипотека"/>
    <s v="Квартира"/>
    <m/>
    <x v="16"/>
    <m/>
    <n v="2"/>
    <n v="1"/>
    <n v="2003"/>
  </r>
  <r>
    <x v="113"/>
    <x v="266"/>
    <s v="Договор купли-продажи"/>
    <d v="2016-12-01T00:00:00"/>
    <d v="2016-12-01T00:00:00"/>
    <n v="1500000"/>
    <n v="30241.94"/>
    <n v="1"/>
    <s v="Ипотека"/>
    <s v="Квартира"/>
    <m/>
    <x v="16"/>
    <s v="Нефтяников"/>
    <n v="4"/>
    <n v="1"/>
    <n v="2014"/>
  </r>
  <r>
    <x v="108"/>
    <x v="286"/>
    <s v="Договор купли-продажи"/>
    <d v="2016-12-01T00:00:00"/>
    <d v="2016-12-01T00:00:00"/>
    <n v="1724800"/>
    <n v="30366.2"/>
    <n v="1"/>
    <s v="Ипотека"/>
    <s v="Квартира"/>
    <m/>
    <x v="16"/>
    <m/>
    <n v="9"/>
    <n v="2"/>
    <n v="2016"/>
  </r>
  <r>
    <x v="108"/>
    <x v="286"/>
    <s v="Договор купли-продажи"/>
    <d v="2016-12-01T00:00:00"/>
    <d v="2016-12-01T00:00:00"/>
    <n v="1724800"/>
    <n v="30366.2"/>
    <n v="1"/>
    <s v="Ипотека"/>
    <s v="Квартира"/>
    <m/>
    <x v="16"/>
    <m/>
    <n v="9"/>
    <n v="2"/>
    <n v="2016"/>
  </r>
  <r>
    <x v="115"/>
    <x v="287"/>
    <s v="Договор купли-продажи"/>
    <d v="2017-01-01T00:00:00"/>
    <d v="2017-02-01T00:00:00"/>
    <n v="1271200"/>
    <n v="30411.48"/>
    <n v="1"/>
    <s v="Ипотека"/>
    <s v="Квартира"/>
    <m/>
    <x v="16"/>
    <m/>
    <n v="5"/>
    <n v="2"/>
    <n v="2009"/>
  </r>
  <r>
    <x v="115"/>
    <x v="287"/>
    <s v="Договор купли-продажи"/>
    <d v="2017-01-01T00:00:00"/>
    <d v="2017-02-01T00:00:00"/>
    <n v="1271200"/>
    <n v="30411.48"/>
    <n v="1"/>
    <s v="Ипотека"/>
    <s v="Квартира"/>
    <m/>
    <x v="16"/>
    <m/>
    <n v="5"/>
    <n v="2"/>
    <n v="2009"/>
  </r>
  <r>
    <x v="109"/>
    <x v="288"/>
    <s v="Договор купли-продажи"/>
    <d v="2016-11-01T00:00:00"/>
    <d v="2016-11-01T00:00:00"/>
    <n v="1400000"/>
    <n v="30501.09"/>
    <n v="1"/>
    <s v="Ипотека"/>
    <s v="Квартира"/>
    <m/>
    <x v="16"/>
    <s v="Комсомольский"/>
    <n v="3"/>
    <n v="2"/>
    <n v="2016"/>
  </r>
  <r>
    <x v="109"/>
    <x v="288"/>
    <s v="Договор купли-продажи"/>
    <d v="2016-11-01T00:00:00"/>
    <d v="2016-11-01T00:00:00"/>
    <n v="1400000"/>
    <n v="30501.09"/>
    <n v="1"/>
    <s v="Ипотека"/>
    <s v="Квартира"/>
    <m/>
    <x v="16"/>
    <s v="Комсомольский"/>
    <n v="3"/>
    <n v="2"/>
    <n v="2016"/>
  </r>
  <r>
    <x v="114"/>
    <x v="129"/>
    <s v="Договор купли-продажи"/>
    <d v="2017-01-01T00:00:00"/>
    <d v="2017-02-01T00:00:00"/>
    <n v="1300000"/>
    <n v="30516.43"/>
    <n v="1"/>
    <s v="Ипотека"/>
    <s v="Квартира"/>
    <m/>
    <x v="16"/>
    <s v="Комсомольский"/>
    <n v="3"/>
    <n v="1"/>
    <n v="2001"/>
  </r>
  <r>
    <x v="113"/>
    <x v="85"/>
    <s v="Договор купли-продажи"/>
    <d v="2016-11-01T00:00:00"/>
    <d v="2016-11-01T00:00:00"/>
    <n v="1872000"/>
    <n v="30538.34"/>
    <n v="1"/>
    <s v="Ипотека"/>
    <s v="Квартира"/>
    <m/>
    <x v="16"/>
    <s v="Дорожная"/>
    <n v="2"/>
    <n v="2"/>
    <n v="2003"/>
  </r>
  <r>
    <x v="113"/>
    <x v="85"/>
    <s v="Договор купли-продажи"/>
    <d v="2016-11-01T00:00:00"/>
    <d v="2016-11-01T00:00:00"/>
    <n v="1872000"/>
    <n v="30538.34"/>
    <n v="1"/>
    <s v="Ипотека"/>
    <s v="Квартира"/>
    <m/>
    <x v="16"/>
    <s v="Дорожная"/>
    <n v="2"/>
    <n v="2"/>
    <n v="2003"/>
  </r>
  <r>
    <x v="115"/>
    <x v="38"/>
    <s v="Договор купли-продажи"/>
    <d v="2016-12-01T00:00:00"/>
    <d v="2016-12-01T00:00:00"/>
    <n v="960000"/>
    <n v="30573.25"/>
    <n v="1"/>
    <s v="Ипотека"/>
    <s v="Квартира"/>
    <m/>
    <x v="16"/>
    <s v="Комсомольский"/>
    <n v="3"/>
    <n v="1"/>
    <n v="2007"/>
  </r>
  <r>
    <x v="115"/>
    <x v="249"/>
    <s v="Договор купли-продажи"/>
    <d v="2016-09-01T00:00:00"/>
    <d v="2016-10-01T00:00:00"/>
    <n v="928000"/>
    <n v="30627.06"/>
    <n v="1"/>
    <s v="Ипотека"/>
    <s v="Квартира"/>
    <m/>
    <x v="16"/>
    <s v="Комсомольский"/>
    <n v="3"/>
    <n v="1"/>
    <n v="2013"/>
  </r>
  <r>
    <x v="124"/>
    <x v="90"/>
    <s v="Договор купли-продажи"/>
    <d v="2016-10-01T00:00:00"/>
    <d v="2016-11-01T00:00:00"/>
    <n v="1000000"/>
    <n v="30674.85"/>
    <n v="1"/>
    <s v="Ипотека"/>
    <s v="Квартира"/>
    <m/>
    <x v="16"/>
    <s v="Энергетиков"/>
    <n v="2"/>
    <n v="1"/>
    <n v="2016"/>
  </r>
  <r>
    <x v="122"/>
    <x v="151"/>
    <s v="Договор купли-продажи"/>
    <d v="2016-12-01T00:00:00"/>
    <d v="2016-12-01T00:00:00"/>
    <n v="1792800"/>
    <n v="30804.12"/>
    <n v="1"/>
    <s v="Ипотека"/>
    <s v="Квартира"/>
    <m/>
    <x v="16"/>
    <m/>
    <n v="9"/>
    <n v="1"/>
    <n v="2016"/>
  </r>
  <r>
    <x v="111"/>
    <x v="289"/>
    <s v="Договор купли-продажи"/>
    <d v="2016-12-01T00:00:00"/>
    <d v="2016-12-01T00:00:00"/>
    <n v="1950000"/>
    <n v="30805.69"/>
    <n v="1"/>
    <s v="Ипотека"/>
    <s v="Квартира"/>
    <m/>
    <x v="16"/>
    <m/>
    <n v="9"/>
    <n v="2"/>
    <n v="2001"/>
  </r>
  <r>
    <x v="111"/>
    <x v="211"/>
    <s v="Договор купли-продажи"/>
    <d v="2016-12-01T00:00:00"/>
    <d v="2016-12-01T00:00:00"/>
    <n v="1520000"/>
    <n v="30831.64"/>
    <n v="1"/>
    <s v="Ипотека"/>
    <s v="Квартира"/>
    <m/>
    <x v="16"/>
    <s v="Социалистическая"/>
    <n v="3"/>
    <n v="1"/>
    <n v="2001"/>
  </r>
  <r>
    <x v="129"/>
    <x v="217"/>
    <s v="Договор купли-продажи"/>
    <d v="2016-11-01T00:00:00"/>
    <d v="2016-11-01T00:00:00"/>
    <n v="1640000"/>
    <n v="30885.119999999999"/>
    <n v="1"/>
    <s v="Ипотека"/>
    <s v="Квартира"/>
    <m/>
    <x v="16"/>
    <m/>
    <n v="1"/>
    <n v="2"/>
    <n v="2007"/>
  </r>
  <r>
    <x v="129"/>
    <x v="217"/>
    <s v="Договор купли-продажи"/>
    <d v="2016-11-01T00:00:00"/>
    <d v="2016-11-01T00:00:00"/>
    <n v="1640000"/>
    <n v="30885.119999999999"/>
    <n v="1"/>
    <s v="Ипотека"/>
    <s v="Квартира"/>
    <m/>
    <x v="16"/>
    <m/>
    <n v="1"/>
    <n v="2"/>
    <n v="2007"/>
  </r>
  <r>
    <x v="114"/>
    <x v="249"/>
    <s v="Договор купли-продажи"/>
    <d v="2016-10-01T00:00:00"/>
    <d v="2016-10-01T00:00:00"/>
    <n v="936000"/>
    <n v="30891.09"/>
    <n v="1"/>
    <s v="Ипотека"/>
    <s v="Квартира"/>
    <m/>
    <x v="16"/>
    <s v="Строителей"/>
    <n v="3"/>
    <n v="1"/>
    <n v="2003"/>
  </r>
  <r>
    <x v="108"/>
    <x v="17"/>
    <s v="Договор купли-продажи"/>
    <d v="2016-12-01T00:00:00"/>
    <d v="2016-12-01T00:00:00"/>
    <n v="1168000"/>
    <n v="30981.43"/>
    <n v="1"/>
    <s v="Ипотека"/>
    <s v="Квартира"/>
    <m/>
    <x v="16"/>
    <m/>
    <n v="9"/>
    <n v="1"/>
    <n v="2016"/>
  </r>
  <r>
    <x v="112"/>
    <x v="149"/>
    <s v="Договор купли-продажи"/>
    <d v="2016-12-01T00:00:00"/>
    <d v="2017-01-01T00:00:00"/>
    <n v="1398100"/>
    <n v="31000"/>
    <n v="1"/>
    <s v="Ипотека"/>
    <s v="Квартира"/>
    <m/>
    <x v="16"/>
    <m/>
    <n v="4"/>
    <n v="2"/>
    <n v="2016"/>
  </r>
  <r>
    <x v="112"/>
    <x v="13"/>
    <s v="Договор купли-продажи"/>
    <d v="2016-12-01T00:00:00"/>
    <d v="2017-01-01T00:00:00"/>
    <n v="1630600"/>
    <n v="31000"/>
    <n v="1"/>
    <s v="Ипотека"/>
    <s v="Квартира"/>
    <m/>
    <x v="16"/>
    <m/>
    <n v="3"/>
    <n v="2"/>
    <n v="2016"/>
  </r>
  <r>
    <x v="112"/>
    <x v="149"/>
    <s v="Договор купли-продажи"/>
    <d v="2016-12-01T00:00:00"/>
    <d v="2017-01-01T00:00:00"/>
    <n v="1398100"/>
    <n v="31000"/>
    <n v="1"/>
    <s v="Ипотека"/>
    <s v="Квартира"/>
    <m/>
    <x v="16"/>
    <m/>
    <n v="4"/>
    <n v="2"/>
    <n v="2016"/>
  </r>
  <r>
    <x v="112"/>
    <x v="13"/>
    <s v="Договор купли-продажи"/>
    <d v="2016-12-01T00:00:00"/>
    <d v="2017-01-01T00:00:00"/>
    <n v="1630600"/>
    <n v="31000"/>
    <n v="1"/>
    <s v="Ипотека"/>
    <s v="Квартира"/>
    <m/>
    <x v="16"/>
    <m/>
    <n v="3"/>
    <n v="2"/>
    <n v="2016"/>
  </r>
  <r>
    <x v="111"/>
    <x v="281"/>
    <s v="Договор купли-продажи"/>
    <d v="2016-12-01T00:00:00"/>
    <d v="2016-12-01T00:00:00"/>
    <n v="1200000"/>
    <n v="31088.080000000002"/>
    <n v="1"/>
    <s v="Ипотека"/>
    <s v="Квартира"/>
    <m/>
    <x v="16"/>
    <s v="Строителей"/>
    <n v="9"/>
    <n v="1"/>
    <n v="2007"/>
  </r>
  <r>
    <x v="117"/>
    <x v="236"/>
    <s v="Договор купли-продажи"/>
    <d v="2016-11-01T00:00:00"/>
    <d v="2016-11-01T00:00:00"/>
    <n v="1900000"/>
    <n v="31147.54"/>
    <n v="1"/>
    <s v="Ипотека"/>
    <s v="Квартира"/>
    <m/>
    <x v="16"/>
    <s v="Социалистическая"/>
    <n v="5"/>
    <n v="1"/>
    <n v="2012"/>
  </r>
  <r>
    <x v="121"/>
    <x v="216"/>
    <s v="Договор купли-продажи"/>
    <d v="2016-09-01T00:00:00"/>
    <d v="2016-10-01T00:00:00"/>
    <n v="1100000"/>
    <n v="31250"/>
    <n v="1"/>
    <s v="Ипотека"/>
    <s v="Квартира"/>
    <m/>
    <x v="16"/>
    <s v="Строителей"/>
    <n v="9"/>
    <n v="2"/>
    <n v="2006"/>
  </r>
  <r>
    <x v="121"/>
    <x v="216"/>
    <s v="Договор купли-продажи"/>
    <d v="2016-09-01T00:00:00"/>
    <d v="2016-10-01T00:00:00"/>
    <n v="1100000"/>
    <n v="31250"/>
    <n v="1"/>
    <s v="Ипотека"/>
    <s v="Квартира"/>
    <m/>
    <x v="16"/>
    <s v="Строителей"/>
    <n v="9"/>
    <n v="2"/>
    <n v="2006"/>
  </r>
  <r>
    <x v="122"/>
    <x v="83"/>
    <s v="Договор купли-продажи"/>
    <d v="2016-10-01T00:00:00"/>
    <d v="2016-11-01T00:00:00"/>
    <n v="1200000"/>
    <n v="31250"/>
    <n v="1"/>
    <s v="Ипотека"/>
    <s v="Квартира"/>
    <m/>
    <x v="16"/>
    <m/>
    <n v="5"/>
    <n v="1"/>
    <n v="2016"/>
  </r>
  <r>
    <x v="121"/>
    <x v="6"/>
    <s v="Договор купли-продажи"/>
    <d v="2017-02-01T00:00:00"/>
    <d v="2017-02-01T00:00:00"/>
    <n v="1144000"/>
    <n v="31256.83"/>
    <n v="1"/>
    <s v="Ипотека"/>
    <s v="Квартира"/>
    <m/>
    <x v="16"/>
    <s v="Победы"/>
    <n v="5"/>
    <n v="1"/>
    <n v="2001"/>
  </r>
  <r>
    <x v="122"/>
    <x v="152"/>
    <s v="Договор купли-продажи"/>
    <d v="2016-11-01T00:00:00"/>
    <d v="2016-11-01T00:00:00"/>
    <n v="1840000"/>
    <n v="31292.52"/>
    <n v="1"/>
    <s v="Ипотека"/>
    <s v="Квартира"/>
    <m/>
    <x v="16"/>
    <m/>
    <n v="8"/>
    <n v="1"/>
    <n v="2016"/>
  </r>
  <r>
    <x v="110"/>
    <x v="290"/>
    <s v="Договор купли-продажи"/>
    <d v="2016-11-01T00:00:00"/>
    <d v="2016-11-01T00:00:00"/>
    <n v="900000"/>
    <n v="31358.89"/>
    <n v="1"/>
    <s v="Ипотека"/>
    <s v="Квартира"/>
    <m/>
    <x v="16"/>
    <m/>
    <n v="7"/>
    <n v="1"/>
    <n v="2007"/>
  </r>
  <r>
    <x v="115"/>
    <x v="291"/>
    <s v="Договор купли-продажи"/>
    <d v="2017-02-01T00:00:00"/>
    <d v="2017-02-01T00:00:00"/>
    <n v="417100"/>
    <n v="31360.9"/>
    <n v="1"/>
    <s v="Ипотека"/>
    <s v="Квартира"/>
    <m/>
    <x v="16"/>
    <s v="Социалистическая"/>
    <n v="2"/>
    <n v="1"/>
    <n v="2006"/>
  </r>
  <r>
    <x v="112"/>
    <x v="134"/>
    <s v="Договор купли-продажи"/>
    <d v="2016-09-01T00:00:00"/>
    <d v="2016-10-01T00:00:00"/>
    <n v="1200000"/>
    <n v="31413.61"/>
    <n v="1"/>
    <s v="Ипотека"/>
    <s v="Квартира"/>
    <m/>
    <x v="16"/>
    <s v="Комсомольский"/>
    <n v="1"/>
    <n v="1"/>
    <n v="2012"/>
  </r>
  <r>
    <x v="122"/>
    <x v="152"/>
    <s v="Договор купли-продажи"/>
    <d v="2016-12-01T00:00:00"/>
    <d v="2016-12-01T00:00:00"/>
    <n v="1847400"/>
    <n v="31418.37"/>
    <n v="1"/>
    <s v="Ипотека"/>
    <s v="Квартира"/>
    <m/>
    <x v="16"/>
    <m/>
    <n v="9"/>
    <n v="2"/>
    <n v="2016"/>
  </r>
  <r>
    <x v="122"/>
    <x v="152"/>
    <s v="Договор купли-продажи"/>
    <d v="2016-12-01T00:00:00"/>
    <d v="2016-12-01T00:00:00"/>
    <n v="1847400"/>
    <n v="31418.37"/>
    <n v="1"/>
    <s v="Ипотека"/>
    <s v="Квартира"/>
    <m/>
    <x v="16"/>
    <m/>
    <n v="9"/>
    <n v="2"/>
    <n v="2016"/>
  </r>
  <r>
    <x v="116"/>
    <x v="53"/>
    <s v="Договор купли-продажи"/>
    <d v="2017-01-01T00:00:00"/>
    <d v="2017-02-01T00:00:00"/>
    <n v="1808000"/>
    <n v="31443.48"/>
    <n v="1"/>
    <s v="Ипотека"/>
    <s v="Квартира"/>
    <m/>
    <x v="16"/>
    <s v="Строителей"/>
    <n v="3"/>
    <n v="1"/>
    <n v="2017"/>
  </r>
  <r>
    <x v="116"/>
    <x v="292"/>
    <s v="Договор купли-продажи"/>
    <d v="2017-02-01T00:00:00"/>
    <d v="2017-02-01T00:00:00"/>
    <n v="2400000"/>
    <n v="31454.78"/>
    <n v="1"/>
    <s v="Ипотека"/>
    <s v="Квартира"/>
    <m/>
    <x v="16"/>
    <m/>
    <n v="4"/>
    <n v="2"/>
    <n v="2017"/>
  </r>
  <r>
    <x v="116"/>
    <x v="292"/>
    <s v="Договор купли-продажи"/>
    <d v="2017-02-01T00:00:00"/>
    <d v="2017-02-01T00:00:00"/>
    <n v="2400000"/>
    <n v="31454.78"/>
    <n v="1"/>
    <s v="Ипотека"/>
    <s v="Квартира"/>
    <m/>
    <x v="16"/>
    <m/>
    <n v="4"/>
    <n v="2"/>
    <n v="2017"/>
  </r>
  <r>
    <x v="116"/>
    <x v="293"/>
    <s v="Договор купли-продажи"/>
    <d v="2017-01-01T00:00:00"/>
    <d v="2017-01-01T00:00:00"/>
    <n v="2128000"/>
    <n v="31479.29"/>
    <n v="1"/>
    <s v="Ипотека"/>
    <s v="Квартира"/>
    <m/>
    <x v="16"/>
    <s v="Дорожная"/>
    <n v="9"/>
    <n v="2"/>
    <n v="2010"/>
  </r>
  <r>
    <x v="116"/>
    <x v="293"/>
    <s v="Договор купли-продажи"/>
    <d v="2017-01-01T00:00:00"/>
    <d v="2017-01-01T00:00:00"/>
    <n v="2128000"/>
    <n v="31479.29"/>
    <n v="1"/>
    <s v="Ипотека"/>
    <s v="Квартира"/>
    <m/>
    <x v="16"/>
    <s v="Дорожная"/>
    <n v="9"/>
    <n v="2"/>
    <n v="2010"/>
  </r>
  <r>
    <x v="117"/>
    <x v="294"/>
    <s v="Договор купли-продажи"/>
    <d v="2016-11-01T00:00:00"/>
    <d v="2016-11-01T00:00:00"/>
    <n v="1950000"/>
    <n v="31502.42"/>
    <n v="1"/>
    <s v="Ипотека"/>
    <s v="Квартира"/>
    <m/>
    <x v="16"/>
    <s v="Юбилейный"/>
    <n v="3"/>
    <n v="2"/>
    <n v="2008"/>
  </r>
  <r>
    <x v="117"/>
    <x v="294"/>
    <s v="Договор купли-продажи"/>
    <d v="2016-11-01T00:00:00"/>
    <d v="2016-11-01T00:00:00"/>
    <n v="1950000"/>
    <n v="31502.42"/>
    <n v="1"/>
    <s v="Ипотека"/>
    <s v="Квартира"/>
    <m/>
    <x v="16"/>
    <s v="Юбилейный"/>
    <n v="3"/>
    <n v="2"/>
    <n v="2008"/>
  </r>
  <r>
    <x v="113"/>
    <x v="249"/>
    <s v="Договор купли-продажи"/>
    <d v="2016-12-01T00:00:00"/>
    <d v="2016-12-01T00:00:00"/>
    <n v="955000"/>
    <n v="31518.15"/>
    <n v="1"/>
    <s v="Ипотека"/>
    <s v="Квартира"/>
    <m/>
    <x v="16"/>
    <s v="Дорожная"/>
    <n v="1"/>
    <n v="2"/>
    <n v="2001"/>
  </r>
  <r>
    <x v="113"/>
    <x v="249"/>
    <s v="Договор купли-продажи"/>
    <d v="2016-12-01T00:00:00"/>
    <d v="2016-12-01T00:00:00"/>
    <n v="955000"/>
    <n v="31518.15"/>
    <n v="1"/>
    <s v="Ипотека"/>
    <s v="Квартира"/>
    <m/>
    <x v="16"/>
    <s v="Дорожная"/>
    <n v="1"/>
    <n v="2"/>
    <n v="2001"/>
  </r>
  <r>
    <x v="111"/>
    <x v="131"/>
    <s v="Договор купли-продажи"/>
    <d v="2017-01-01T00:00:00"/>
    <d v="2017-01-01T00:00:00"/>
    <n v="1381500"/>
    <n v="31541.1"/>
    <n v="1"/>
    <s v="Ипотека"/>
    <s v="Квартира"/>
    <m/>
    <x v="16"/>
    <s v="Дзержинского"/>
    <n v="2"/>
    <n v="2"/>
    <n v="2017"/>
  </r>
  <r>
    <x v="111"/>
    <x v="131"/>
    <s v="Договор купли-продажи"/>
    <d v="2017-01-01T00:00:00"/>
    <d v="2017-01-01T00:00:00"/>
    <n v="1381500"/>
    <n v="31541.1"/>
    <n v="1"/>
    <s v="Ипотека"/>
    <s v="Квартира"/>
    <m/>
    <x v="16"/>
    <s v="Дзержинского"/>
    <n v="2"/>
    <n v="2"/>
    <n v="2017"/>
  </r>
  <r>
    <x v="113"/>
    <x v="183"/>
    <s v="Договор купли-продажи"/>
    <d v="2016-12-01T00:00:00"/>
    <d v="2016-12-01T00:00:00"/>
    <n v="1350000"/>
    <n v="31542.06"/>
    <n v="1"/>
    <s v="Ипотека"/>
    <s v="Квартира"/>
    <m/>
    <x v="16"/>
    <m/>
    <n v="4"/>
    <n v="1"/>
    <n v="2016"/>
  </r>
  <r>
    <x v="121"/>
    <x v="295"/>
    <s v="Договор купли-продажи"/>
    <d v="2017-02-01T00:00:00"/>
    <d v="2017-02-01T00:00:00"/>
    <n v="1681600"/>
    <n v="31549.72"/>
    <n v="1"/>
    <s v="Ипотека"/>
    <s v="Квартира"/>
    <m/>
    <x v="16"/>
    <m/>
    <n v="7"/>
    <n v="2"/>
    <n v="2017"/>
  </r>
  <r>
    <x v="121"/>
    <x v="295"/>
    <s v="Договор купли-продажи"/>
    <d v="2017-02-01T00:00:00"/>
    <d v="2017-02-01T00:00:00"/>
    <n v="1681600"/>
    <n v="31549.72"/>
    <n v="1"/>
    <s v="Ипотека"/>
    <s v="Квартира"/>
    <m/>
    <x v="16"/>
    <m/>
    <n v="7"/>
    <n v="2"/>
    <n v="2017"/>
  </r>
  <r>
    <x v="110"/>
    <x v="296"/>
    <s v="Договор купли-продажи"/>
    <d v="2016-10-01T00:00:00"/>
    <d v="2016-11-01T00:00:00"/>
    <n v="2038000"/>
    <n v="31596.9"/>
    <n v="1"/>
    <s v="Ипотека"/>
    <s v="Квартира"/>
    <m/>
    <x v="16"/>
    <m/>
    <n v="5"/>
    <n v="2"/>
    <n v="2001"/>
  </r>
  <r>
    <x v="110"/>
    <x v="296"/>
    <s v="Договор купли-продажи"/>
    <d v="2016-10-01T00:00:00"/>
    <d v="2016-11-01T00:00:00"/>
    <n v="2038000"/>
    <n v="31596.9"/>
    <n v="1"/>
    <s v="Ипотека"/>
    <s v="Квартира"/>
    <m/>
    <x v="16"/>
    <m/>
    <n v="5"/>
    <n v="2"/>
    <n v="2001"/>
  </r>
  <r>
    <x v="109"/>
    <x v="297"/>
    <s v="Договор купли-продажи"/>
    <d v="2016-12-01T00:00:00"/>
    <d v="2016-12-01T00:00:00"/>
    <n v="968000"/>
    <n v="31633.99"/>
    <n v="1"/>
    <s v="Ипотека"/>
    <s v="Квартира"/>
    <m/>
    <x v="16"/>
    <s v="Парковая"/>
    <n v="4"/>
    <n v="1"/>
    <n v="2007"/>
  </r>
  <r>
    <x v="108"/>
    <x v="283"/>
    <s v="Договор купли-продажи"/>
    <d v="2016-12-01T00:00:00"/>
    <d v="2016-12-01T00:00:00"/>
    <n v="1180000"/>
    <n v="31635.39"/>
    <n v="1"/>
    <s v="Ипотека"/>
    <s v="Квартира"/>
    <m/>
    <x v="16"/>
    <m/>
    <n v="8"/>
    <n v="1"/>
    <n v="2016"/>
  </r>
  <r>
    <x v="112"/>
    <x v="126"/>
    <s v="Договор купли-продажи"/>
    <d v="2016-10-01T00:00:00"/>
    <d v="2016-10-01T00:00:00"/>
    <n v="1900000"/>
    <n v="31719.53"/>
    <n v="1"/>
    <s v="Ипотека"/>
    <s v="Квартира"/>
    <m/>
    <x v="16"/>
    <m/>
    <n v="4"/>
    <n v="1"/>
    <n v="2010"/>
  </r>
  <r>
    <x v="111"/>
    <x v="298"/>
    <s v="Договор купли-продажи"/>
    <d v="2016-12-01T00:00:00"/>
    <d v="2016-12-01T00:00:00"/>
    <n v="1088000"/>
    <n v="31720.12"/>
    <n v="1"/>
    <s v="Ипотека"/>
    <s v="Квартира"/>
    <m/>
    <x v="16"/>
    <m/>
    <n v="4"/>
    <n v="2"/>
    <n v="2016"/>
  </r>
  <r>
    <x v="111"/>
    <x v="298"/>
    <s v="Договор купли-продажи"/>
    <d v="2016-12-01T00:00:00"/>
    <d v="2016-12-01T00:00:00"/>
    <n v="1088000"/>
    <n v="31720.12"/>
    <n v="1"/>
    <s v="Ипотека"/>
    <s v="Квартира"/>
    <m/>
    <x v="16"/>
    <m/>
    <n v="4"/>
    <n v="2"/>
    <n v="2016"/>
  </r>
  <r>
    <x v="114"/>
    <x v="65"/>
    <s v="Договор купли-продажи"/>
    <d v="2016-10-01T00:00:00"/>
    <d v="2016-10-01T00:00:00"/>
    <n v="1300000"/>
    <n v="31784.84"/>
    <n v="1"/>
    <s v="Ипотека"/>
    <s v="Квартира"/>
    <m/>
    <x v="16"/>
    <s v="Строителей"/>
    <n v="2"/>
    <n v="1"/>
    <n v="2003"/>
  </r>
  <r>
    <x v="115"/>
    <x v="260"/>
    <s v="Договор купли-продажи"/>
    <d v="2016-11-01T00:00:00"/>
    <d v="2016-11-01T00:00:00"/>
    <n v="980000"/>
    <n v="31818.18"/>
    <n v="1"/>
    <s v="Ипотека"/>
    <s v="Квартира"/>
    <m/>
    <x v="16"/>
    <m/>
    <n v="2"/>
    <n v="1"/>
    <n v="2016"/>
  </r>
  <r>
    <x v="125"/>
    <x v="40"/>
    <s v="Договор купли-продажи"/>
    <d v="2016-09-01T00:00:00"/>
    <d v="2016-10-01T00:00:00"/>
    <n v="1300000"/>
    <n v="31862.75"/>
    <n v="1"/>
    <s v="Ипотека"/>
    <s v="Квартира"/>
    <m/>
    <x v="16"/>
    <s v="Комсомольский"/>
    <n v="1"/>
    <n v="2"/>
    <n v="2009"/>
  </r>
  <r>
    <x v="125"/>
    <x v="40"/>
    <s v="Договор купли-продажи"/>
    <d v="2016-09-01T00:00:00"/>
    <d v="2016-10-01T00:00:00"/>
    <n v="1300000"/>
    <n v="31862.75"/>
    <n v="1"/>
    <s v="Ипотека"/>
    <s v="Квартира"/>
    <m/>
    <x v="16"/>
    <s v="Комсомольский"/>
    <n v="1"/>
    <n v="2"/>
    <n v="2009"/>
  </r>
  <r>
    <x v="121"/>
    <x v="216"/>
    <s v="Договор купли-продажи"/>
    <d v="2016-12-01T00:00:00"/>
    <d v="2016-12-01T00:00:00"/>
    <n v="1122000"/>
    <n v="31875"/>
    <n v="1"/>
    <s v="Ипотека"/>
    <s v="Квартира"/>
    <m/>
    <x v="16"/>
    <m/>
    <n v="9"/>
    <n v="1"/>
    <n v="2016"/>
  </r>
  <r>
    <x v="112"/>
    <x v="178"/>
    <s v="Договор купли-продажи"/>
    <d v="2016-11-01T00:00:00"/>
    <d v="2016-11-01T00:00:00"/>
    <n v="956800"/>
    <n v="32000"/>
    <n v="1"/>
    <s v="Ипотека"/>
    <s v="Квартира"/>
    <m/>
    <x v="16"/>
    <m/>
    <n v="4"/>
    <n v="2"/>
    <n v="2016"/>
  </r>
  <r>
    <x v="112"/>
    <x v="178"/>
    <s v="Договор купли-продажи"/>
    <d v="2016-11-01T00:00:00"/>
    <d v="2016-11-01T00:00:00"/>
    <n v="956800"/>
    <n v="32000"/>
    <n v="1"/>
    <s v="Ипотека"/>
    <s v="Квартира"/>
    <m/>
    <x v="16"/>
    <m/>
    <n v="4"/>
    <n v="2"/>
    <n v="2016"/>
  </r>
  <r>
    <x v="112"/>
    <x v="299"/>
    <s v="Договор купли-продажи"/>
    <d v="2017-02-01T00:00:00"/>
    <d v="2017-02-01T00:00:00"/>
    <n v="2016000"/>
    <n v="32000"/>
    <n v="1"/>
    <s v="Ипотека"/>
    <s v="Квартира"/>
    <m/>
    <x v="16"/>
    <m/>
    <n v="1"/>
    <n v="2"/>
    <n v="2016"/>
  </r>
  <r>
    <x v="121"/>
    <x v="300"/>
    <s v="Договор купли-продажи"/>
    <d v="2016-11-01T00:00:00"/>
    <d v="2016-11-01T00:00:00"/>
    <n v="890000"/>
    <n v="32129.96"/>
    <n v="1"/>
    <s v="Ипотека"/>
    <s v="Квартира"/>
    <m/>
    <x v="16"/>
    <s v="Победы"/>
    <n v="3"/>
    <n v="1"/>
    <n v="2000"/>
  </r>
  <r>
    <x v="122"/>
    <x v="208"/>
    <s v="Договор купли-продажи"/>
    <d v="2016-11-01T00:00:00"/>
    <d v="2016-11-01T00:00:00"/>
    <n v="1170000"/>
    <n v="32320.44"/>
    <n v="1"/>
    <s v="Ипотека"/>
    <s v="Квартира"/>
    <m/>
    <x v="16"/>
    <m/>
    <n v="7"/>
    <n v="1"/>
    <n v="2016"/>
  </r>
  <r>
    <x v="122"/>
    <x v="301"/>
    <s v="Договор купли-продажи"/>
    <d v="2016-12-01T00:00:00"/>
    <d v="2016-12-01T00:00:00"/>
    <n v="2079200"/>
    <n v="32335.93"/>
    <n v="1"/>
    <s v="Ипотека"/>
    <s v="Квартира"/>
    <m/>
    <x v="16"/>
    <m/>
    <n v="8"/>
    <n v="2"/>
    <n v="2016"/>
  </r>
  <r>
    <x v="122"/>
    <x v="301"/>
    <s v="Договор купли-продажи"/>
    <d v="2016-12-01T00:00:00"/>
    <d v="2016-12-01T00:00:00"/>
    <n v="2079200"/>
    <n v="32335.93"/>
    <n v="1"/>
    <s v="Ипотека"/>
    <s v="Квартира"/>
    <m/>
    <x v="16"/>
    <m/>
    <n v="8"/>
    <n v="2"/>
    <n v="2016"/>
  </r>
  <r>
    <x v="111"/>
    <x v="15"/>
    <s v="Договор купли-продажи"/>
    <d v="2016-12-01T00:00:00"/>
    <d v="2016-12-01T00:00:00"/>
    <n v="1600000"/>
    <n v="32388.66"/>
    <n v="1"/>
    <s v="Ипотека"/>
    <s v="Квартира"/>
    <m/>
    <x v="16"/>
    <s v="Строителей"/>
    <n v="1"/>
    <n v="2"/>
    <n v="2005"/>
  </r>
  <r>
    <x v="111"/>
    <x v="15"/>
    <s v="Договор купли-продажи"/>
    <d v="2016-12-01T00:00:00"/>
    <d v="2016-12-01T00:00:00"/>
    <n v="1600000"/>
    <n v="32388.66"/>
    <n v="1"/>
    <s v="Ипотека"/>
    <s v="Квартира"/>
    <m/>
    <x v="16"/>
    <s v="Строителей"/>
    <n v="1"/>
    <n v="2"/>
    <n v="2005"/>
  </r>
  <r>
    <x v="114"/>
    <x v="198"/>
    <s v="Договор купли-продажи"/>
    <d v="2016-12-01T00:00:00"/>
    <d v="2016-12-01T00:00:00"/>
    <n v="976000"/>
    <n v="32425.25"/>
    <n v="1"/>
    <s v="Ипотека"/>
    <s v="Квартира"/>
    <m/>
    <x v="16"/>
    <s v="Строителей"/>
    <n v="3"/>
    <n v="1"/>
    <n v="2005"/>
  </r>
  <r>
    <x v="111"/>
    <x v="211"/>
    <s v="Договор купли-продажи"/>
    <d v="2017-02-01T00:00:00"/>
    <d v="2017-02-01T00:00:00"/>
    <n v="1600000"/>
    <n v="32454.36"/>
    <n v="1"/>
    <s v="Ипотека"/>
    <s v="Квартира"/>
    <m/>
    <x v="16"/>
    <s v="Дзержинского"/>
    <n v="3"/>
    <n v="2"/>
    <n v="2004"/>
  </r>
  <r>
    <x v="122"/>
    <x v="281"/>
    <s v="Договор купли-продажи"/>
    <d v="2016-12-01T00:00:00"/>
    <d v="2016-12-01T00:00:00"/>
    <n v="1254000"/>
    <n v="32487.05"/>
    <n v="1"/>
    <s v="Ипотека"/>
    <s v="Квартира"/>
    <m/>
    <x v="16"/>
    <m/>
    <n v="6"/>
    <n v="1"/>
    <n v="2016"/>
  </r>
  <r>
    <x v="122"/>
    <x v="152"/>
    <s v="Договор купли-продажи"/>
    <d v="2016-12-01T00:00:00"/>
    <d v="2016-12-01T00:00:00"/>
    <n v="1910400"/>
    <n v="32489.8"/>
    <n v="1"/>
    <s v="Ипотека"/>
    <s v="Квартира"/>
    <m/>
    <x v="16"/>
    <m/>
    <n v="9"/>
    <n v="2"/>
    <n v="2016"/>
  </r>
  <r>
    <x v="122"/>
    <x v="152"/>
    <s v="Договор купли-продажи"/>
    <d v="2016-12-01T00:00:00"/>
    <d v="2016-12-01T00:00:00"/>
    <n v="1910400"/>
    <n v="32489.8"/>
    <n v="1"/>
    <s v="Ипотека"/>
    <s v="Квартира"/>
    <m/>
    <x v="16"/>
    <m/>
    <n v="9"/>
    <n v="2"/>
    <n v="2016"/>
  </r>
  <r>
    <x v="124"/>
    <x v="83"/>
    <s v="Договор купли-продажи"/>
    <d v="2017-01-01T00:00:00"/>
    <d v="2017-01-01T00:00:00"/>
    <n v="1250000"/>
    <n v="32552.080000000002"/>
    <n v="1"/>
    <s v="Ипотека"/>
    <s v="Квартира"/>
    <m/>
    <x v="16"/>
    <s v="Энергетиков"/>
    <n v="6"/>
    <n v="1"/>
    <n v="2014"/>
  </r>
  <r>
    <x v="115"/>
    <x v="302"/>
    <s v="Договор купли-продажи"/>
    <d v="2016-10-01T00:00:00"/>
    <d v="2016-10-01T00:00:00"/>
    <n v="424000"/>
    <n v="32615.38"/>
    <n v="1"/>
    <s v="Ипотека"/>
    <s v="Квартира"/>
    <m/>
    <x v="16"/>
    <s v="Социалистическая"/>
    <n v="2"/>
    <n v="1"/>
    <n v="2006"/>
  </r>
  <r>
    <x v="125"/>
    <x v="229"/>
    <s v="Договор купли-продажи"/>
    <d v="2016-10-01T00:00:00"/>
    <d v="2016-10-01T00:00:00"/>
    <n v="1300000"/>
    <n v="32745.59"/>
    <n v="1"/>
    <s v="Ипотека"/>
    <s v="Квартира"/>
    <m/>
    <x v="16"/>
    <s v="Кувыкина"/>
    <n v="5"/>
    <n v="1"/>
    <n v="2001"/>
  </r>
  <r>
    <x v="122"/>
    <x v="151"/>
    <s v="Договор купли-продажи"/>
    <d v="2016-12-01T00:00:00"/>
    <d v="2016-12-01T00:00:00"/>
    <n v="1912000"/>
    <n v="32852.230000000003"/>
    <n v="1"/>
    <s v="Ипотека"/>
    <s v="Квартира"/>
    <m/>
    <x v="16"/>
    <m/>
    <n v="6"/>
    <n v="1"/>
    <n v="2012"/>
  </r>
  <r>
    <x v="115"/>
    <x v="303"/>
    <s v="Договор купли-продажи"/>
    <d v="2016-10-01T00:00:00"/>
    <d v="2016-10-01T00:00:00"/>
    <n v="592000"/>
    <n v="32888.89"/>
    <n v="1"/>
    <s v="Ипотека"/>
    <s v="Квартира"/>
    <m/>
    <x v="16"/>
    <s v="Социалистическая"/>
    <n v="3"/>
    <n v="1"/>
    <n v="2006"/>
  </r>
  <r>
    <x v="109"/>
    <x v="131"/>
    <s v="Договор купли-продажи"/>
    <d v="2016-09-01T00:00:00"/>
    <d v="2016-10-01T00:00:00"/>
    <n v="1445000"/>
    <n v="32990.870000000003"/>
    <n v="1"/>
    <s v="Ипотека"/>
    <s v="Квартира"/>
    <m/>
    <x v="16"/>
    <m/>
    <n v="8"/>
    <n v="2"/>
    <n v="2001"/>
  </r>
  <r>
    <x v="109"/>
    <x v="131"/>
    <s v="Договор купли-продажи"/>
    <d v="2016-09-01T00:00:00"/>
    <d v="2016-10-01T00:00:00"/>
    <n v="1445000"/>
    <n v="32990.870000000003"/>
    <n v="1"/>
    <s v="Ипотека"/>
    <s v="Квартира"/>
    <m/>
    <x v="16"/>
    <m/>
    <n v="8"/>
    <n v="2"/>
    <n v="2001"/>
  </r>
  <r>
    <x v="109"/>
    <x v="304"/>
    <s v="Договор купли-продажи"/>
    <d v="2016-11-01T00:00:00"/>
    <d v="2016-11-01T00:00:00"/>
    <n v="1199000"/>
    <n v="33030.300000000003"/>
    <n v="1"/>
    <s v="Ипотека"/>
    <s v="Квартира"/>
    <m/>
    <x v="16"/>
    <m/>
    <n v="3"/>
    <n v="1"/>
    <n v="2005"/>
  </r>
  <r>
    <x v="122"/>
    <x v="43"/>
    <s v="Договор купли-продажи"/>
    <d v="2016-12-01T00:00:00"/>
    <d v="2016-12-01T00:00:00"/>
    <n v="1209600"/>
    <n v="33139.730000000003"/>
    <n v="1"/>
    <s v="Ипотека"/>
    <s v="Квартира"/>
    <m/>
    <x v="16"/>
    <m/>
    <n v="5"/>
    <n v="1"/>
    <n v="2016"/>
  </r>
  <r>
    <x v="108"/>
    <x v="87"/>
    <s v="Договор купли-продажи"/>
    <d v="2016-12-01T00:00:00"/>
    <d v="2016-12-01T00:00:00"/>
    <n v="1650000"/>
    <n v="33199.199999999997"/>
    <n v="1"/>
    <s v="Ипотека"/>
    <s v="Квартира"/>
    <m/>
    <x v="16"/>
    <m/>
    <n v="2"/>
    <n v="1"/>
    <n v="2016"/>
  </r>
  <r>
    <x v="115"/>
    <x v="56"/>
    <s v="Договор купли-продажи"/>
    <d v="2016-11-01T00:00:00"/>
    <d v="2016-11-01T00:00:00"/>
    <n v="960000"/>
    <n v="33217.99"/>
    <n v="1"/>
    <s v="Ипотека"/>
    <s v="Квартира"/>
    <m/>
    <x v="16"/>
    <s v="Юбилейный"/>
    <n v="5"/>
    <n v="1"/>
    <n v="2000"/>
  </r>
  <r>
    <x v="110"/>
    <x v="201"/>
    <s v="Договор купли-продажи"/>
    <d v="2017-01-01T00:00:00"/>
    <d v="2017-01-01T00:00:00"/>
    <n v="1200000"/>
    <n v="33426.18"/>
    <n v="1"/>
    <s v="Ипотека"/>
    <s v="Квартира"/>
    <m/>
    <x v="16"/>
    <m/>
    <n v="5"/>
    <n v="1"/>
    <n v="2010"/>
  </r>
  <r>
    <x v="108"/>
    <x v="248"/>
    <s v="Договор купли-продажи"/>
    <d v="2017-02-01T00:00:00"/>
    <d v="2017-02-01T00:00:00"/>
    <n v="1056000"/>
    <n v="33523.81"/>
    <n v="1"/>
    <s v="Ипотека"/>
    <s v="Квартира"/>
    <m/>
    <x v="16"/>
    <m/>
    <n v="7"/>
    <n v="2"/>
    <n v="2017"/>
  </r>
  <r>
    <x v="122"/>
    <x v="305"/>
    <s v="Договор купли-продажи"/>
    <d v="2016-12-01T00:00:00"/>
    <d v="2016-12-01T00:00:00"/>
    <n v="1388800"/>
    <n v="33545.89"/>
    <n v="1"/>
    <s v="Ипотека"/>
    <s v="Квартира"/>
    <m/>
    <x v="16"/>
    <m/>
    <n v="4"/>
    <n v="2"/>
    <n v="2016"/>
  </r>
  <r>
    <x v="122"/>
    <x v="305"/>
    <s v="Договор купли-продажи"/>
    <d v="2016-12-01T00:00:00"/>
    <d v="2016-12-01T00:00:00"/>
    <n v="1388800"/>
    <n v="33545.89"/>
    <n v="1"/>
    <s v="Ипотека"/>
    <s v="Квартира"/>
    <m/>
    <x v="16"/>
    <m/>
    <n v="4"/>
    <n v="2"/>
    <n v="2016"/>
  </r>
  <r>
    <x v="112"/>
    <x v="178"/>
    <s v="Договор купли-продажи"/>
    <d v="2016-11-01T00:00:00"/>
    <d v="2016-11-01T00:00:00"/>
    <n v="1004640"/>
    <n v="33600"/>
    <n v="1"/>
    <s v="Ипотека"/>
    <s v="Квартира"/>
    <m/>
    <x v="16"/>
    <m/>
    <n v="4"/>
    <n v="1"/>
    <n v="2016"/>
  </r>
  <r>
    <x v="109"/>
    <x v="275"/>
    <s v="Договор купли-продажи"/>
    <d v="2016-12-01T00:00:00"/>
    <d v="2016-12-01T00:00:00"/>
    <n v="1200000"/>
    <n v="33613.449999999997"/>
    <n v="1"/>
    <s v="Ипотека"/>
    <s v="Квартира"/>
    <m/>
    <x v="16"/>
    <s v="Парковая"/>
    <n v="1"/>
    <n v="2"/>
    <n v="2005"/>
  </r>
  <r>
    <x v="109"/>
    <x v="275"/>
    <s v="Договор купли-продажи"/>
    <d v="2016-12-01T00:00:00"/>
    <d v="2016-12-01T00:00:00"/>
    <n v="1200000"/>
    <n v="33613.449999999997"/>
    <n v="1"/>
    <s v="Ипотека"/>
    <s v="Квартира"/>
    <m/>
    <x v="16"/>
    <s v="Парковая"/>
    <n v="1"/>
    <n v="2"/>
    <n v="2005"/>
  </r>
  <r>
    <x v="121"/>
    <x v="216"/>
    <s v="Договор купли-продажи"/>
    <d v="2016-10-01T00:00:00"/>
    <d v="2016-10-01T00:00:00"/>
    <n v="1190000"/>
    <n v="33806.82"/>
    <n v="1"/>
    <s v="Ипотека"/>
    <s v="Квартира"/>
    <m/>
    <x v="16"/>
    <s v="Социалистическая"/>
    <n v="9"/>
    <n v="2"/>
    <n v="1999"/>
  </r>
  <r>
    <x v="121"/>
    <x v="216"/>
    <s v="Договор купли-продажи"/>
    <d v="2016-10-01T00:00:00"/>
    <d v="2016-10-01T00:00:00"/>
    <n v="1190000"/>
    <n v="33806.82"/>
    <n v="1"/>
    <s v="Ипотека"/>
    <s v="Квартира"/>
    <m/>
    <x v="16"/>
    <s v="Социалистическая"/>
    <n v="9"/>
    <n v="2"/>
    <n v="1999"/>
  </r>
  <r>
    <x v="122"/>
    <x v="43"/>
    <s v="Договор купли-продажи"/>
    <d v="2016-12-01T00:00:00"/>
    <d v="2016-12-01T00:00:00"/>
    <n v="1239840"/>
    <n v="33968.22"/>
    <n v="1"/>
    <s v="Ипотека"/>
    <s v="Квартира"/>
    <m/>
    <x v="16"/>
    <m/>
    <n v="8"/>
    <n v="2"/>
    <n v="2016"/>
  </r>
  <r>
    <x v="122"/>
    <x v="43"/>
    <s v="Договор купли-продажи"/>
    <d v="2016-12-01T00:00:00"/>
    <d v="2016-12-01T00:00:00"/>
    <n v="1239840"/>
    <n v="33968.22"/>
    <n v="1"/>
    <s v="Ипотека"/>
    <s v="Квартира"/>
    <m/>
    <x v="16"/>
    <m/>
    <n v="8"/>
    <n v="2"/>
    <n v="2016"/>
  </r>
  <r>
    <x v="128"/>
    <x v="297"/>
    <s v="Договор купли-продажи"/>
    <d v="2016-10-01T00:00:00"/>
    <d v="2016-10-01T00:00:00"/>
    <n v="1040000"/>
    <n v="33986.93"/>
    <n v="1"/>
    <s v="Ипотека"/>
    <s v="Квартира"/>
    <m/>
    <x v="16"/>
    <s v="Строителей"/>
    <n v="1"/>
    <n v="1"/>
    <n v="2006"/>
  </r>
  <r>
    <x v="112"/>
    <x v="97"/>
    <s v="Договор купли-продажи"/>
    <d v="2016-12-01T00:00:00"/>
    <d v="2016-12-01T00:00:00"/>
    <n v="1800000"/>
    <n v="34155.599999999999"/>
    <n v="1"/>
    <s v="Ипотека"/>
    <s v="Квартира"/>
    <m/>
    <x v="16"/>
    <s v="Комсомольский"/>
    <n v="8"/>
    <n v="2"/>
    <n v="2013"/>
  </r>
  <r>
    <x v="112"/>
    <x v="97"/>
    <s v="Договор купли-продажи"/>
    <d v="2016-12-01T00:00:00"/>
    <d v="2016-12-01T00:00:00"/>
    <n v="1800000"/>
    <n v="34155.599999999999"/>
    <n v="1"/>
    <s v="Ипотека"/>
    <s v="Квартира"/>
    <m/>
    <x v="16"/>
    <s v="Комсомольский"/>
    <n v="8"/>
    <n v="2"/>
    <n v="2013"/>
  </r>
  <r>
    <x v="119"/>
    <x v="83"/>
    <s v="Договор купли-продажи"/>
    <d v="2016-11-01T00:00:00"/>
    <d v="2016-11-01T00:00:00"/>
    <n v="1315000"/>
    <n v="34244.79"/>
    <n v="1"/>
    <s v="Ипотека"/>
    <s v="Квартира"/>
    <m/>
    <x v="16"/>
    <s v="Комсомольский"/>
    <n v="1"/>
    <n v="1"/>
    <n v="2011"/>
  </r>
  <r>
    <x v="108"/>
    <x v="287"/>
    <s v="Договор купли-продажи"/>
    <d v="2017-02-01T00:00:00"/>
    <d v="2017-02-01T00:00:00"/>
    <n v="1432000"/>
    <n v="34258.370000000003"/>
    <n v="1"/>
    <s v="Ипотека"/>
    <s v="Квартира"/>
    <m/>
    <x v="16"/>
    <m/>
    <n v="8"/>
    <n v="1"/>
    <n v="2016"/>
  </r>
  <r>
    <x v="115"/>
    <x v="86"/>
    <s v="Договор купли-продажи"/>
    <d v="2016-10-01T00:00:00"/>
    <d v="2016-10-01T00:00:00"/>
    <n v="1470000"/>
    <n v="34265.730000000003"/>
    <n v="1"/>
    <s v="Ипотека"/>
    <s v="Квартира"/>
    <m/>
    <x v="16"/>
    <s v="Комсомольский"/>
    <n v="3"/>
    <n v="2"/>
    <n v="2013"/>
  </r>
  <r>
    <x v="115"/>
    <x v="86"/>
    <s v="Договор купли-продажи"/>
    <d v="2016-10-01T00:00:00"/>
    <d v="2016-10-01T00:00:00"/>
    <n v="1470000"/>
    <n v="34265.730000000003"/>
    <n v="1"/>
    <s v="Ипотека"/>
    <s v="Квартира"/>
    <m/>
    <x v="16"/>
    <s v="Комсомольский"/>
    <n v="3"/>
    <n v="2"/>
    <n v="2013"/>
  </r>
  <r>
    <x v="124"/>
    <x v="266"/>
    <s v="Договор купли-продажи"/>
    <d v="2016-09-01T00:00:00"/>
    <d v="2016-10-01T00:00:00"/>
    <n v="1700000"/>
    <n v="34274.19"/>
    <n v="1"/>
    <s v="Ипотека"/>
    <s v="Квартира"/>
    <m/>
    <x v="16"/>
    <m/>
    <n v="3"/>
    <n v="1"/>
    <n v="2013"/>
  </r>
  <r>
    <x v="110"/>
    <x v="220"/>
    <s v="Договор купли-продажи"/>
    <d v="2017-01-01T00:00:00"/>
    <d v="2017-01-01T00:00:00"/>
    <n v="1200000"/>
    <n v="34285.71"/>
    <n v="1"/>
    <s v="Ипотека"/>
    <s v="Квартира"/>
    <m/>
    <x v="16"/>
    <s v="Дорожная"/>
    <n v="2"/>
    <n v="2"/>
    <n v="2010"/>
  </r>
  <r>
    <x v="110"/>
    <x v="220"/>
    <s v="Договор купли-продажи"/>
    <d v="2017-01-01T00:00:00"/>
    <d v="2017-01-01T00:00:00"/>
    <n v="1200000"/>
    <n v="34285.71"/>
    <n v="1"/>
    <s v="Ипотека"/>
    <s v="Квартира"/>
    <m/>
    <x v="16"/>
    <s v="Дорожная"/>
    <n v="2"/>
    <n v="2"/>
    <n v="2010"/>
  </r>
  <r>
    <x v="124"/>
    <x v="195"/>
    <s v="Договор купли-продажи"/>
    <d v="2016-11-01T00:00:00"/>
    <d v="2016-11-01T00:00:00"/>
    <n v="1776000"/>
    <n v="34352.03"/>
    <n v="1"/>
    <s v="Ипотека"/>
    <s v="Квартира"/>
    <m/>
    <x v="16"/>
    <m/>
    <n v="7"/>
    <n v="2"/>
    <n v="2013"/>
  </r>
  <r>
    <x v="124"/>
    <x v="195"/>
    <s v="Договор купли-продажи"/>
    <d v="2016-11-01T00:00:00"/>
    <d v="2016-11-01T00:00:00"/>
    <n v="1776000"/>
    <n v="34352.03"/>
    <n v="1"/>
    <s v="Ипотека"/>
    <s v="Квартира"/>
    <m/>
    <x v="16"/>
    <m/>
    <n v="7"/>
    <n v="2"/>
    <n v="2013"/>
  </r>
  <r>
    <x v="122"/>
    <x v="134"/>
    <s v="Договор купли-продажи"/>
    <d v="2017-01-01T00:00:00"/>
    <d v="2017-02-01T00:00:00"/>
    <n v="1324000"/>
    <n v="34659.69"/>
    <n v="1"/>
    <s v="Ипотека"/>
    <s v="Квартира"/>
    <m/>
    <x v="16"/>
    <m/>
    <n v="7"/>
    <n v="2"/>
    <n v="2016"/>
  </r>
  <r>
    <x v="122"/>
    <x v="134"/>
    <s v="Договор купли-продажи"/>
    <d v="2017-01-01T00:00:00"/>
    <d v="2017-02-01T00:00:00"/>
    <n v="1324000"/>
    <n v="34659.69"/>
    <n v="1"/>
    <s v="Ипотека"/>
    <s v="Квартира"/>
    <m/>
    <x v="16"/>
    <m/>
    <n v="7"/>
    <n v="2"/>
    <n v="2016"/>
  </r>
  <r>
    <x v="112"/>
    <x v="306"/>
    <s v="Договор купли-продажи"/>
    <d v="2016-12-01T00:00:00"/>
    <d v="2016-12-01T00:00:00"/>
    <n v="1220000"/>
    <n v="34757.83"/>
    <n v="1"/>
    <s v="Ипотека"/>
    <s v="Квартира"/>
    <m/>
    <x v="16"/>
    <s v="Юбилейный"/>
    <n v="2"/>
    <n v="2"/>
    <n v="2004"/>
  </r>
  <r>
    <x v="112"/>
    <x v="306"/>
    <s v="Договор купли-продажи"/>
    <d v="2016-12-01T00:00:00"/>
    <d v="2016-12-01T00:00:00"/>
    <n v="1220000"/>
    <n v="34757.83"/>
    <n v="1"/>
    <s v="Ипотека"/>
    <s v="Квартира"/>
    <m/>
    <x v="16"/>
    <s v="Юбилейный"/>
    <n v="2"/>
    <n v="2"/>
    <n v="2004"/>
  </r>
  <r>
    <x v="110"/>
    <x v="28"/>
    <s v="Договор купли-продажи"/>
    <d v="2016-11-01T00:00:00"/>
    <d v="2016-11-01T00:00:00"/>
    <n v="1700000"/>
    <n v="34836.07"/>
    <n v="1"/>
    <s v="Ипотека"/>
    <s v="Квартира"/>
    <m/>
    <x v="16"/>
    <s v="Парковая"/>
    <n v="5"/>
    <n v="2"/>
    <n v="2006"/>
  </r>
  <r>
    <x v="110"/>
    <x v="28"/>
    <s v="Договор купли-продажи"/>
    <d v="2016-11-01T00:00:00"/>
    <d v="2016-11-01T00:00:00"/>
    <n v="1700000"/>
    <n v="34836.07"/>
    <n v="1"/>
    <s v="Ипотека"/>
    <s v="Квартира"/>
    <m/>
    <x v="16"/>
    <s v="Парковая"/>
    <n v="5"/>
    <n v="2"/>
    <n v="2006"/>
  </r>
  <r>
    <x v="119"/>
    <x v="81"/>
    <s v="Договор купли-продажи"/>
    <d v="2017-02-01T00:00:00"/>
    <d v="2017-03-01T00:00:00"/>
    <n v="1300000"/>
    <n v="34946.239999999998"/>
    <n v="1"/>
    <s v="Ипотека"/>
    <s v="Квартира"/>
    <m/>
    <x v="16"/>
    <s v="Комсомольский"/>
    <n v="7"/>
    <n v="1"/>
    <n v="2015"/>
  </r>
  <r>
    <x v="128"/>
    <x v="86"/>
    <s v="Договор купли-продажи"/>
    <d v="2016-10-01T00:00:00"/>
    <d v="2016-10-01T00:00:00"/>
    <n v="1500000"/>
    <n v="34965.040000000001"/>
    <n v="1"/>
    <s v="Ипотека"/>
    <s v="Квартира"/>
    <m/>
    <x v="16"/>
    <s v="Строителей"/>
    <n v="2"/>
    <n v="1"/>
    <n v="2007"/>
  </r>
  <r>
    <x v="113"/>
    <x v="139"/>
    <s v="Договор купли-продажи"/>
    <d v="2016-10-01T00:00:00"/>
    <d v="2016-10-01T00:00:00"/>
    <n v="1438400"/>
    <n v="35082.93"/>
    <n v="1"/>
    <s v="Ипотека"/>
    <s v="Квартира"/>
    <m/>
    <x v="16"/>
    <m/>
    <n v="8"/>
    <n v="2"/>
    <n v="2015"/>
  </r>
  <r>
    <x v="113"/>
    <x v="139"/>
    <s v="Договор купли-продажи"/>
    <d v="2016-10-01T00:00:00"/>
    <d v="2016-10-01T00:00:00"/>
    <n v="1438400"/>
    <n v="35082.93"/>
    <n v="1"/>
    <s v="Ипотека"/>
    <s v="Квартира"/>
    <m/>
    <x v="16"/>
    <m/>
    <n v="8"/>
    <n v="2"/>
    <n v="2015"/>
  </r>
  <r>
    <x v="112"/>
    <x v="307"/>
    <s v="Договор купли-продажи"/>
    <d v="2016-12-01T00:00:00"/>
    <d v="2016-12-01T00:00:00"/>
    <n v="1080000"/>
    <n v="35179.15"/>
    <n v="1"/>
    <s v="Ипотека"/>
    <s v="Квартира"/>
    <m/>
    <x v="16"/>
    <s v="Комсомольский"/>
    <n v="7"/>
    <n v="1"/>
    <n v="2013"/>
  </r>
  <r>
    <x v="111"/>
    <x v="308"/>
    <s v="Договор купли-продажи"/>
    <d v="2016-11-01T00:00:00"/>
    <d v="2016-11-01T00:00:00"/>
    <n v="2333026"/>
    <n v="35188.93"/>
    <n v="1"/>
    <s v="Ипотека"/>
    <s v="Квартира"/>
    <m/>
    <x v="16"/>
    <s v="Строителей"/>
    <n v="1"/>
    <n v="2"/>
    <n v="2016"/>
  </r>
  <r>
    <x v="111"/>
    <x v="308"/>
    <s v="Договор купли-продажи"/>
    <d v="2016-11-01T00:00:00"/>
    <d v="2016-11-01T00:00:00"/>
    <n v="2333026"/>
    <n v="35188.93"/>
    <n v="1"/>
    <s v="Ипотека"/>
    <s v="Квартира"/>
    <m/>
    <x v="16"/>
    <s v="Строителей"/>
    <n v="1"/>
    <n v="2"/>
    <n v="2016"/>
  </r>
  <r>
    <x v="113"/>
    <x v="135"/>
    <s v="Договор купли-продажи"/>
    <d v="2017-02-01T00:00:00"/>
    <d v="2017-02-01T00:00:00"/>
    <n v="1479000"/>
    <n v="35214.29"/>
    <n v="1"/>
    <s v="Ипотека"/>
    <s v="Квартира"/>
    <m/>
    <x v="16"/>
    <m/>
    <n v="7"/>
    <n v="2"/>
    <n v="2015"/>
  </r>
  <r>
    <x v="128"/>
    <x v="309"/>
    <s v="Договор купли-продажи"/>
    <d v="2016-09-01T00:00:00"/>
    <d v="2016-11-01T00:00:00"/>
    <n v="2342116.7000000002"/>
    <n v="35219.800000000003"/>
    <n v="1"/>
    <s v="Ипотека"/>
    <s v="помещения"/>
    <m/>
    <x v="16"/>
    <s v="Юбилейный"/>
    <n v="1"/>
    <n v="1"/>
    <n v="2008"/>
  </r>
  <r>
    <x v="113"/>
    <x v="45"/>
    <s v="Договор купли-продажи"/>
    <d v="2017-02-01T00:00:00"/>
    <d v="2017-02-01T00:00:00"/>
    <n v="1503000"/>
    <n v="35364.71"/>
    <n v="1"/>
    <s v="Ипотека"/>
    <s v="Квартира"/>
    <m/>
    <x v="16"/>
    <s v="Комсомольский"/>
    <n v="3"/>
    <n v="2"/>
    <n v="2006"/>
  </r>
  <r>
    <x v="112"/>
    <x v="310"/>
    <s v="Договор купли-продажи"/>
    <d v="2016-09-01T00:00:00"/>
    <d v="2016-10-01T00:00:00"/>
    <n v="2000000"/>
    <n v="35778.18"/>
    <n v="1"/>
    <s v="Ипотека"/>
    <s v="Квартира"/>
    <m/>
    <x v="16"/>
    <s v="Комсомольский"/>
    <n v="5"/>
    <n v="1"/>
    <n v="2011"/>
  </r>
  <r>
    <x v="119"/>
    <x v="272"/>
    <s v="Договор купли-продажи"/>
    <d v="2016-10-01T00:00:00"/>
    <d v="2016-11-01T00:00:00"/>
    <n v="1360000"/>
    <n v="35789.47"/>
    <n v="1"/>
    <s v="Ипотека"/>
    <s v="Квартира"/>
    <m/>
    <x v="16"/>
    <m/>
    <n v="6"/>
    <n v="2"/>
    <n v="2016"/>
  </r>
  <r>
    <x v="119"/>
    <x v="272"/>
    <s v="Договор купли-продажи"/>
    <d v="2016-10-01T00:00:00"/>
    <d v="2016-11-01T00:00:00"/>
    <n v="1360000"/>
    <n v="35789.47"/>
    <n v="1"/>
    <s v="Ипотека"/>
    <s v="Квартира"/>
    <m/>
    <x v="16"/>
    <m/>
    <n v="6"/>
    <n v="2"/>
    <n v="2016"/>
  </r>
  <r>
    <x v="116"/>
    <x v="298"/>
    <s v="Договор купли-продажи"/>
    <d v="2016-12-01T00:00:00"/>
    <d v="2016-12-01T00:00:00"/>
    <n v="1230000"/>
    <n v="35860.06"/>
    <n v="1"/>
    <s v="Ипотека"/>
    <s v="Квартира"/>
    <m/>
    <x v="16"/>
    <s v="Строителей"/>
    <n v="4"/>
    <n v="2"/>
    <n v="2001"/>
  </r>
  <r>
    <x v="116"/>
    <x v="298"/>
    <s v="Договор купли-продажи"/>
    <d v="2016-12-01T00:00:00"/>
    <d v="2016-12-01T00:00:00"/>
    <n v="1230000"/>
    <n v="35860.06"/>
    <n v="1"/>
    <s v="Ипотека"/>
    <s v="Квартира"/>
    <m/>
    <x v="16"/>
    <s v="Строителей"/>
    <n v="4"/>
    <n v="2"/>
    <n v="2001"/>
  </r>
  <r>
    <x v="126"/>
    <x v="27"/>
    <s v="Договор купли-продажи"/>
    <d v="2017-01-01T00:00:00"/>
    <d v="2017-01-01T00:00:00"/>
    <n v="1500000"/>
    <n v="35971.22"/>
    <n v="1"/>
    <s v="Ипотека"/>
    <s v="Квартира"/>
    <m/>
    <x v="16"/>
    <m/>
    <n v="3"/>
    <n v="2"/>
    <n v="2002"/>
  </r>
  <r>
    <x v="126"/>
    <x v="27"/>
    <s v="Договор купли-продажи"/>
    <d v="2017-01-01T00:00:00"/>
    <d v="2017-01-01T00:00:00"/>
    <n v="1500000"/>
    <n v="35971.22"/>
    <n v="1"/>
    <s v="Ипотека"/>
    <s v="Квартира"/>
    <m/>
    <x v="16"/>
    <m/>
    <n v="3"/>
    <n v="2"/>
    <n v="2002"/>
  </r>
  <r>
    <x v="108"/>
    <x v="128"/>
    <s v="Договор купли-продажи"/>
    <d v="2016-10-01T00:00:00"/>
    <d v="2016-11-01T00:00:00"/>
    <n v="1522500"/>
    <n v="35992.910000000003"/>
    <n v="1"/>
    <s v="Ипотека"/>
    <s v="Квартира"/>
    <m/>
    <x v="16"/>
    <m/>
    <n v="7"/>
    <n v="2"/>
    <n v="2016"/>
  </r>
  <r>
    <x v="108"/>
    <x v="128"/>
    <s v="Договор купли-продажи"/>
    <d v="2016-10-01T00:00:00"/>
    <d v="2016-11-01T00:00:00"/>
    <n v="1522500"/>
    <n v="35992.910000000003"/>
    <n v="1"/>
    <s v="Ипотека"/>
    <s v="Квартира"/>
    <m/>
    <x v="16"/>
    <m/>
    <n v="7"/>
    <n v="2"/>
    <n v="2016"/>
  </r>
  <r>
    <x v="124"/>
    <x v="311"/>
    <s v="Договор купли-продажи"/>
    <d v="2016-10-01T00:00:00"/>
    <d v="2016-11-01T00:00:00"/>
    <n v="1235000"/>
    <n v="36111.11"/>
    <n v="1"/>
    <s v="Ипотека"/>
    <s v="Квартира"/>
    <m/>
    <x v="16"/>
    <m/>
    <n v="7"/>
    <n v="1"/>
    <n v="2015"/>
  </r>
  <r>
    <x v="108"/>
    <x v="3"/>
    <s v="Договор купли-продажи"/>
    <d v="2017-02-01T00:00:00"/>
    <d v="2017-03-01T00:00:00"/>
    <n v="1291500"/>
    <n v="36586.400000000001"/>
    <n v="1"/>
    <s v="Ипотека"/>
    <s v="Квартира"/>
    <m/>
    <x v="16"/>
    <m/>
    <n v="6"/>
    <n v="1"/>
    <n v="2017"/>
  </r>
  <r>
    <x v="110"/>
    <x v="312"/>
    <s v="Договор купли-продажи"/>
    <d v="2017-01-01T00:00:00"/>
    <d v="2017-01-01T00:00:00"/>
    <n v="2329026"/>
    <n v="36910.080000000002"/>
    <n v="1"/>
    <s v="Ипотека"/>
    <s v="Квартира"/>
    <m/>
    <x v="16"/>
    <m/>
    <n v="9"/>
    <n v="2"/>
    <n v="2009"/>
  </r>
  <r>
    <x v="110"/>
    <x v="312"/>
    <s v="Договор купли-продажи"/>
    <d v="2017-01-01T00:00:00"/>
    <d v="2017-01-01T00:00:00"/>
    <n v="2329026"/>
    <n v="36910.080000000002"/>
    <n v="1"/>
    <s v="Ипотека"/>
    <s v="Квартира"/>
    <m/>
    <x v="16"/>
    <m/>
    <n v="9"/>
    <n v="2"/>
    <n v="2009"/>
  </r>
  <r>
    <x v="124"/>
    <x v="313"/>
    <s v="Договор купли-продажи"/>
    <d v="2017-01-01T00:00:00"/>
    <d v="2017-01-01T00:00:00"/>
    <n v="2030000"/>
    <n v="36976.32"/>
    <n v="1"/>
    <s v="Ипотека"/>
    <s v="Квартира"/>
    <m/>
    <x v="16"/>
    <m/>
    <n v="5"/>
    <n v="2"/>
    <n v="2008"/>
  </r>
  <r>
    <x v="124"/>
    <x v="313"/>
    <s v="Договор купли-продажи"/>
    <d v="2017-01-01T00:00:00"/>
    <d v="2017-01-01T00:00:00"/>
    <n v="2030000"/>
    <n v="36976.32"/>
    <n v="1"/>
    <s v="Ипотека"/>
    <s v="Квартира"/>
    <m/>
    <x v="16"/>
    <m/>
    <n v="5"/>
    <n v="2"/>
    <n v="2008"/>
  </r>
  <r>
    <x v="112"/>
    <x v="95"/>
    <s v="Договор купли-продажи"/>
    <d v="2016-12-01T00:00:00"/>
    <d v="2016-12-01T00:00:00"/>
    <n v="1450000"/>
    <n v="37179.49"/>
    <n v="1"/>
    <s v="Ипотека"/>
    <s v="Квартира"/>
    <m/>
    <x v="16"/>
    <s v="Комсомольский"/>
    <n v="8"/>
    <n v="1"/>
    <n v="2012"/>
  </r>
  <r>
    <x v="119"/>
    <x v="197"/>
    <s v="Договор купли-продажи"/>
    <d v="2017-02-01T00:00:00"/>
    <d v="2017-02-01T00:00:00"/>
    <n v="2352000"/>
    <n v="37692.31"/>
    <n v="1"/>
    <s v="Ипотека"/>
    <s v="Квартира"/>
    <m/>
    <x v="16"/>
    <s v="Комсомольский"/>
    <n v="2"/>
    <n v="1"/>
    <n v="2015"/>
  </r>
  <r>
    <x v="116"/>
    <x v="314"/>
    <s v="Договор купли-продажи"/>
    <d v="2017-02-01T00:00:00"/>
    <d v="2017-02-01T00:00:00"/>
    <n v="2464000"/>
    <n v="37733.54"/>
    <n v="1"/>
    <s v="Ипотека"/>
    <s v="Квартира"/>
    <m/>
    <x v="16"/>
    <m/>
    <n v="5"/>
    <n v="2"/>
    <n v="2017"/>
  </r>
  <r>
    <x v="116"/>
    <x v="314"/>
    <s v="Договор купли-продажи"/>
    <d v="2017-02-01T00:00:00"/>
    <d v="2017-02-01T00:00:00"/>
    <n v="2464000"/>
    <n v="37733.54"/>
    <n v="1"/>
    <s v="Ипотека"/>
    <s v="Квартира"/>
    <m/>
    <x v="16"/>
    <m/>
    <n v="5"/>
    <n v="2"/>
    <n v="2017"/>
  </r>
  <r>
    <x v="124"/>
    <x v="315"/>
    <s v="Договор купли-продажи"/>
    <d v="2016-12-01T00:00:00"/>
    <d v="2016-12-01T00:00:00"/>
    <n v="1440000"/>
    <n v="37994.720000000001"/>
    <n v="1"/>
    <s v="Ипотека"/>
    <s v="Квартира"/>
    <m/>
    <x v="16"/>
    <m/>
    <n v="2"/>
    <n v="1"/>
    <n v="2011"/>
  </r>
  <r>
    <x v="112"/>
    <x v="316"/>
    <s v="Договор купли-продажи"/>
    <d v="2016-11-01T00:00:00"/>
    <d v="2016-11-01T00:00:00"/>
    <n v="2200000"/>
    <n v="38194.44"/>
    <n v="1"/>
    <s v="Ипотека"/>
    <s v="Квартира"/>
    <m/>
    <x v="16"/>
    <s v="Комсомольский"/>
    <n v="3"/>
    <n v="2"/>
    <n v="2010"/>
  </r>
  <r>
    <x v="112"/>
    <x v="316"/>
    <s v="Договор купли-продажи"/>
    <d v="2016-11-01T00:00:00"/>
    <d v="2016-11-01T00:00:00"/>
    <n v="2200000"/>
    <n v="38194.44"/>
    <n v="1"/>
    <s v="Ипотека"/>
    <s v="Квартира"/>
    <m/>
    <x v="16"/>
    <s v="Комсомольский"/>
    <n v="3"/>
    <n v="2"/>
    <n v="2010"/>
  </r>
  <r>
    <x v="116"/>
    <x v="48"/>
    <s v="Договор купли-продажи"/>
    <d v="2016-12-01T00:00:00"/>
    <d v="2016-12-01T00:00:00"/>
    <n v="1370000"/>
    <n v="38268.160000000003"/>
    <n v="1"/>
    <s v="Ипотека"/>
    <s v="Квартира"/>
    <m/>
    <x v="16"/>
    <s v="Дорожная"/>
    <n v="8"/>
    <n v="2"/>
    <n v="2013"/>
  </r>
  <r>
    <x v="116"/>
    <x v="48"/>
    <s v="Договор купли-продажи"/>
    <d v="2016-12-01T00:00:00"/>
    <d v="2016-12-01T00:00:00"/>
    <n v="1370000"/>
    <n v="38268.160000000003"/>
    <n v="1"/>
    <s v="Ипотека"/>
    <s v="Квартира"/>
    <m/>
    <x v="16"/>
    <s v="Дорожная"/>
    <n v="8"/>
    <n v="2"/>
    <n v="2013"/>
  </r>
  <r>
    <x v="119"/>
    <x v="317"/>
    <s v="Договор купли-продажи"/>
    <d v="2016-11-01T00:00:00"/>
    <d v="2016-11-01T00:00:00"/>
    <n v="1450000"/>
    <n v="38563.83"/>
    <n v="1"/>
    <s v="Ипотека"/>
    <s v="Квартира"/>
    <m/>
    <x v="16"/>
    <s v="Комсомольский"/>
    <n v="5"/>
    <n v="2"/>
    <n v="2016"/>
  </r>
  <r>
    <x v="119"/>
    <x v="317"/>
    <s v="Договор купли-продажи"/>
    <d v="2016-11-01T00:00:00"/>
    <d v="2016-11-01T00:00:00"/>
    <n v="1450000"/>
    <n v="38563.83"/>
    <n v="1"/>
    <s v="Ипотека"/>
    <s v="Квартира"/>
    <m/>
    <x v="16"/>
    <s v="Комсомольский"/>
    <n v="5"/>
    <n v="2"/>
    <n v="2016"/>
  </r>
  <r>
    <x v="128"/>
    <x v="244"/>
    <s v="Договор купли-продажи"/>
    <d v="2016-12-01T00:00:00"/>
    <d v="2016-12-01T00:00:00"/>
    <n v="2317026"/>
    <n v="39472.33"/>
    <n v="1"/>
    <s v="Ипотека"/>
    <s v="Квартира"/>
    <m/>
    <x v="16"/>
    <s v="Строителей"/>
    <n v="8"/>
    <n v="2"/>
    <n v="2010"/>
  </r>
  <r>
    <x v="128"/>
    <x v="244"/>
    <s v="Договор купли-продажи"/>
    <d v="2016-12-01T00:00:00"/>
    <d v="2016-12-01T00:00:00"/>
    <n v="2317026"/>
    <n v="39472.33"/>
    <n v="1"/>
    <s v="Ипотека"/>
    <s v="Квартира"/>
    <m/>
    <x v="16"/>
    <s v="Строителей"/>
    <n v="8"/>
    <n v="2"/>
    <n v="2010"/>
  </r>
  <r>
    <x v="122"/>
    <x v="318"/>
    <s v="Договор купли-продажи"/>
    <d v="2017-02-01T00:00:00"/>
    <d v="2017-02-01T00:00:00"/>
    <n v="2513000"/>
    <n v="39512.58"/>
    <n v="1"/>
    <s v="Ипотека"/>
    <s v="Квартира"/>
    <m/>
    <x v="16"/>
    <m/>
    <n v="10"/>
    <n v="2"/>
    <n v="2016"/>
  </r>
  <r>
    <x v="118"/>
    <x v="91"/>
    <s v="Договор купли-продажи"/>
    <d v="2016-12-01T00:00:00"/>
    <d v="2016-12-01T00:00:00"/>
    <n v="1600000"/>
    <n v="40100.25"/>
    <n v="1"/>
    <s v="Ипотека"/>
    <s v="Квартира"/>
    <m/>
    <x v="16"/>
    <m/>
    <n v="5"/>
    <n v="1"/>
    <n v="2006"/>
  </r>
  <r>
    <x v="122"/>
    <x v="319"/>
    <s v="Договор купли-продажи"/>
    <d v="2016-09-01T00:00:00"/>
    <d v="2016-10-01T00:00:00"/>
    <n v="2591600"/>
    <n v="40557.120000000003"/>
    <n v="1"/>
    <s v="Ипотека"/>
    <s v="Квартира"/>
    <m/>
    <x v="16"/>
    <m/>
    <n v="2"/>
    <n v="2"/>
    <n v="2016"/>
  </r>
  <r>
    <x v="122"/>
    <x v="319"/>
    <s v="Договор купли-продажи"/>
    <d v="2016-09-01T00:00:00"/>
    <d v="2016-10-01T00:00:00"/>
    <n v="2591600"/>
    <n v="40557.120000000003"/>
    <n v="1"/>
    <s v="Ипотека"/>
    <s v="Квартира"/>
    <m/>
    <x v="16"/>
    <m/>
    <n v="2"/>
    <n v="2"/>
    <n v="2016"/>
  </r>
  <r>
    <x v="122"/>
    <x v="106"/>
    <s v="Договор купли-продажи"/>
    <d v="2016-10-01T00:00:00"/>
    <d v="2016-10-01T00:00:00"/>
    <n v="1442000"/>
    <n v="40619.72"/>
    <n v="1"/>
    <s v="Ипотека"/>
    <s v="Квартира"/>
    <m/>
    <x v="16"/>
    <m/>
    <n v="9"/>
    <n v="2"/>
    <n v="2016"/>
  </r>
  <r>
    <x v="122"/>
    <x v="106"/>
    <s v="Договор купли-продажи"/>
    <d v="2016-10-01T00:00:00"/>
    <d v="2016-10-01T00:00:00"/>
    <n v="1442000"/>
    <n v="40619.72"/>
    <n v="1"/>
    <s v="Ипотека"/>
    <s v="Квартира"/>
    <m/>
    <x v="16"/>
    <m/>
    <n v="9"/>
    <n v="2"/>
    <n v="2016"/>
  </r>
  <r>
    <x v="109"/>
    <x v="320"/>
    <s v="Договор купли-продажи"/>
    <d v="2016-10-01T00:00:00"/>
    <d v="2016-10-01T00:00:00"/>
    <n v="1660000"/>
    <n v="41293.53"/>
    <n v="1"/>
    <s v="Ипотека"/>
    <s v="Квартира"/>
    <m/>
    <x v="16"/>
    <m/>
    <n v="4"/>
    <n v="1"/>
    <n v="2005"/>
  </r>
  <r>
    <x v="124"/>
    <x v="321"/>
    <s v="Договор купли-продажи"/>
    <d v="2017-01-01T00:00:00"/>
    <d v="2017-01-01T00:00:00"/>
    <n v="1460000"/>
    <n v="42074.93"/>
    <n v="1"/>
    <s v="Ипотека"/>
    <s v="Квартира"/>
    <m/>
    <x v="16"/>
    <s v="Энергетиков"/>
    <n v="4"/>
    <n v="1"/>
    <n v="2003"/>
  </r>
  <r>
    <x v="124"/>
    <x v="54"/>
    <s v="Договор купли-продажи"/>
    <d v="2016-09-01T00:00:00"/>
    <d v="2016-10-01T00:00:00"/>
    <n v="1450000"/>
    <n v="43939.39"/>
    <n v="1"/>
    <s v="Ипотека"/>
    <s v="Квартира"/>
    <m/>
    <x v="16"/>
    <m/>
    <n v="4"/>
    <n v="2"/>
    <n v="2013"/>
  </r>
  <r>
    <x v="124"/>
    <x v="54"/>
    <s v="Договор купли-продажи"/>
    <d v="2016-09-01T00:00:00"/>
    <d v="2016-10-01T00:00:00"/>
    <n v="1450000"/>
    <n v="43939.39"/>
    <n v="1"/>
    <s v="Ипотека"/>
    <s v="Квартира"/>
    <m/>
    <x v="16"/>
    <m/>
    <n v="4"/>
    <n v="2"/>
    <n v="2013"/>
  </r>
  <r>
    <x v="110"/>
    <x v="322"/>
    <s v="Договор купли-продажи"/>
    <d v="2016-12-01T00:00:00"/>
    <d v="2016-12-01T00:00:00"/>
    <n v="2400000"/>
    <n v="46511.63"/>
    <n v="1"/>
    <s v="Ипотека"/>
    <s v="Помещение"/>
    <m/>
    <x v="16"/>
    <s v="Парковая"/>
    <n v="1"/>
    <n v="1"/>
    <n v="2014"/>
  </r>
  <r>
    <x v="130"/>
    <x v="323"/>
    <s v="Договор купли-продажи"/>
    <d v="2016-10-01T00:00:00"/>
    <d v="2016-10-01T00:00:00"/>
    <n v="407000"/>
    <n v="5994.11"/>
    <n v="1"/>
    <s v="Ипотека"/>
    <s v="Квартира"/>
    <s v="Белокатайский"/>
    <x v="17"/>
    <s v="Перспективная"/>
    <n v="1"/>
    <n v="1"/>
    <n v="2016"/>
  </r>
  <r>
    <x v="131"/>
    <x v="324"/>
    <s v="Договор купли-продажи"/>
    <d v="2016-11-01T00:00:00"/>
    <d v="2016-11-01T00:00:00"/>
    <n v="428100"/>
    <n v="6871.59"/>
    <n v="1"/>
    <s v="Ипотека"/>
    <s v="Квартира"/>
    <s v="Белокатайский"/>
    <x v="17"/>
    <s v="Мажита Гафури"/>
    <n v="1"/>
    <n v="1"/>
    <n v="2004"/>
  </r>
  <r>
    <x v="132"/>
    <x v="39"/>
    <s v="Договор купли-продажи"/>
    <d v="2016-11-01T00:00:00"/>
    <d v="2016-12-01T00:00:00"/>
    <n v="408100"/>
    <n v="9833.73"/>
    <n v="1"/>
    <s v="Ипотека"/>
    <s v="Квартира"/>
    <s v="Белокатайский"/>
    <x v="17"/>
    <s v="Красная Горка"/>
    <n v="1"/>
    <n v="1"/>
    <n v="2010"/>
  </r>
  <r>
    <x v="133"/>
    <x v="325"/>
    <s v="Договор купли-продажи"/>
    <d v="2016-12-01T00:00:00"/>
    <d v="2016-12-01T00:00:00"/>
    <n v="1316000"/>
    <n v="17904.759999999998"/>
    <n v="1"/>
    <s v="Ипотека"/>
    <s v="Квартира"/>
    <s v="Белокатайский"/>
    <x v="17"/>
    <s v="Колхозная"/>
    <n v="1"/>
    <n v="1"/>
    <n v="2011"/>
  </r>
  <r>
    <x v="134"/>
    <x v="326"/>
    <s v="Договор купли-продажи"/>
    <d v="2017-02-01T00:00:00"/>
    <d v="2017-03-01T00:00:00"/>
    <n v="1190000"/>
    <n v="26096.49"/>
    <n v="1"/>
    <s v="Ипотека"/>
    <s v="Квартира"/>
    <m/>
    <x v="18"/>
    <s v="Ленина"/>
    <n v="5"/>
    <n v="1"/>
    <n v="2008"/>
  </r>
  <r>
    <x v="135"/>
    <x v="46"/>
    <s v="Договор купли-продажи"/>
    <d v="2016-10-01T00:00:00"/>
    <d v="2016-10-01T00:00:00"/>
    <n v="860000"/>
    <n v="26219.51"/>
    <n v="1"/>
    <s v="Ипотека"/>
    <s v="Квартира"/>
    <m/>
    <x v="18"/>
    <s v="Калинина"/>
    <n v="5"/>
    <n v="1"/>
    <n v="2006"/>
  </r>
  <r>
    <x v="136"/>
    <x v="32"/>
    <s v="Договор купли-продажи"/>
    <d v="2017-02-01T00:00:00"/>
    <d v="2017-02-01T00:00:00"/>
    <n v="1148000"/>
    <n v="26270.02"/>
    <n v="1"/>
    <s v="Ипотека"/>
    <s v="Квартира"/>
    <m/>
    <x v="18"/>
    <s v="Калинина"/>
    <n v="5"/>
    <n v="1"/>
    <n v="2004"/>
  </r>
  <r>
    <x v="137"/>
    <x v="29"/>
    <s v="Договор купли-продажи"/>
    <d v="2017-01-01T00:00:00"/>
    <d v="2017-01-01T00:00:00"/>
    <n v="1240000"/>
    <n v="26271.19"/>
    <n v="1"/>
    <s v="Ипотека"/>
    <s v="Квартира"/>
    <m/>
    <x v="18"/>
    <s v="Калинина"/>
    <n v="10"/>
    <n v="1"/>
    <n v="2009"/>
  </r>
  <r>
    <x v="138"/>
    <x v="125"/>
    <s v="Договор купли-продажи"/>
    <d v="2016-11-01T00:00:00"/>
    <d v="2016-12-01T00:00:00"/>
    <n v="1320000"/>
    <n v="26294.82"/>
    <n v="1"/>
    <s v="Ипотека"/>
    <s v="Квартира"/>
    <m/>
    <x v="18"/>
    <m/>
    <n v="7"/>
    <n v="1"/>
    <n v="2000"/>
  </r>
  <r>
    <x v="139"/>
    <x v="190"/>
    <s v="Договор купли-продажи"/>
    <d v="2016-12-01T00:00:00"/>
    <d v="2016-12-01T00:00:00"/>
    <n v="1197000"/>
    <n v="26307.69"/>
    <n v="1"/>
    <s v="Ипотека"/>
    <s v="Квартира"/>
    <m/>
    <x v="18"/>
    <s v="Нефтяников"/>
    <n v="3"/>
    <n v="1"/>
    <n v="2016"/>
  </r>
  <r>
    <x v="138"/>
    <x v="327"/>
    <s v="Договор купли-продажи"/>
    <d v="2017-01-01T00:00:00"/>
    <d v="2017-02-01T00:00:00"/>
    <n v="2000000"/>
    <n v="26420.080000000002"/>
    <n v="1"/>
    <s v="Ипотека"/>
    <s v="Квартира"/>
    <m/>
    <x v="18"/>
    <m/>
    <n v="5"/>
    <n v="1"/>
    <n v="2002"/>
  </r>
  <r>
    <x v="140"/>
    <x v="274"/>
    <s v="Договор купли-продажи"/>
    <d v="2016-12-01T00:00:00"/>
    <d v="2016-12-01T00:00:00"/>
    <n v="1000000"/>
    <n v="26455.03"/>
    <n v="1"/>
    <s v="Ипотека"/>
    <s v="Квартира"/>
    <m/>
    <x v="18"/>
    <s v="Уфимская"/>
    <n v="1"/>
    <n v="1"/>
    <n v="2004"/>
  </r>
  <r>
    <x v="141"/>
    <x v="328"/>
    <s v="Договор купли-продажи"/>
    <d v="2016-11-01T00:00:00"/>
    <d v="2016-11-01T00:00:00"/>
    <n v="900000"/>
    <n v="26548.67"/>
    <n v="1"/>
    <s v="Ипотека"/>
    <s v="Квартира"/>
    <m/>
    <x v="18"/>
    <s v="Калинина"/>
    <n v="2"/>
    <n v="2"/>
    <n v="2007"/>
  </r>
  <r>
    <x v="141"/>
    <x v="328"/>
    <s v="Договор купли-продажи"/>
    <d v="2016-11-01T00:00:00"/>
    <d v="2016-11-01T00:00:00"/>
    <n v="900000"/>
    <n v="26548.67"/>
    <n v="1"/>
    <s v="Ипотека"/>
    <s v="Квартира"/>
    <m/>
    <x v="18"/>
    <s v="Калинина"/>
    <n v="2"/>
    <n v="2"/>
    <n v="2007"/>
  </r>
  <r>
    <x v="142"/>
    <x v="305"/>
    <s v="Договор купли-продажи"/>
    <d v="2017-02-01T00:00:00"/>
    <d v="2017-02-01T00:00:00"/>
    <n v="1100000"/>
    <n v="26570.05"/>
    <n v="1"/>
    <s v="Ипотека"/>
    <s v="Квартира"/>
    <m/>
    <x v="18"/>
    <s v="Юлаева"/>
    <n v="5"/>
    <n v="1"/>
    <n v="2007"/>
  </r>
  <r>
    <x v="143"/>
    <x v="329"/>
    <s v="Договор купли-продажи"/>
    <d v="2016-12-01T00:00:00"/>
    <d v="2016-12-01T00:00:00"/>
    <n v="1750000"/>
    <n v="26840.49"/>
    <n v="1"/>
    <s v="Ипотека"/>
    <s v="Квартира"/>
    <m/>
    <x v="18"/>
    <m/>
    <n v="1"/>
    <n v="1"/>
    <n v="2015"/>
  </r>
  <r>
    <x v="144"/>
    <x v="81"/>
    <s v="Договор купли-продажи"/>
    <d v="2016-12-01T00:00:00"/>
    <d v="2016-12-01T00:00:00"/>
    <n v="1000000"/>
    <n v="26881.72"/>
    <n v="1"/>
    <s v="Ипотека"/>
    <s v="Квартира"/>
    <m/>
    <x v="18"/>
    <m/>
    <n v="3"/>
    <n v="1"/>
    <n v="2004"/>
  </r>
  <r>
    <x v="142"/>
    <x v="258"/>
    <s v="Договор купли-продажи"/>
    <d v="2017-02-01T00:00:00"/>
    <d v="2017-03-01T00:00:00"/>
    <n v="1200000"/>
    <n v="26966.29"/>
    <n v="1"/>
    <s v="Ипотека"/>
    <s v="Квартира"/>
    <m/>
    <x v="18"/>
    <s v="Бекетова"/>
    <n v="4"/>
    <n v="1"/>
    <n v="2016"/>
  </r>
  <r>
    <x v="137"/>
    <x v="185"/>
    <s v="Договор купли-продажи"/>
    <d v="2017-03-01T00:00:00"/>
    <d v="2017-03-01T00:00:00"/>
    <n v="1600000"/>
    <n v="26981.45"/>
    <n v="1"/>
    <s v="Ипотека"/>
    <s v="Квартира"/>
    <m/>
    <x v="18"/>
    <s v="Калинина"/>
    <n v="5"/>
    <n v="1"/>
    <n v="2009"/>
  </r>
  <r>
    <x v="145"/>
    <x v="177"/>
    <s v="Договор купли-продажи"/>
    <d v="2017-02-01T00:00:00"/>
    <d v="2017-02-01T00:00:00"/>
    <n v="1700000"/>
    <n v="27027.03"/>
    <n v="1"/>
    <s v="Ипотека"/>
    <s v="Квартира"/>
    <m/>
    <x v="18"/>
    <s v="Бекетова"/>
    <n v="3"/>
    <n v="1"/>
    <n v="2015"/>
  </r>
  <r>
    <x v="143"/>
    <x v="330"/>
    <s v="Договор купли-продажи"/>
    <d v="2017-03-01T00:00:00"/>
    <d v="2017-03-01T00:00:00"/>
    <n v="2500000"/>
    <n v="27027.03"/>
    <n v="1"/>
    <s v="Ипотека"/>
    <s v="Квартира"/>
    <m/>
    <x v="18"/>
    <m/>
    <n v="1"/>
    <n v="2"/>
    <n v="2015"/>
  </r>
  <r>
    <x v="146"/>
    <x v="215"/>
    <s v="Договор купли-продажи"/>
    <d v="2016-11-01T00:00:00"/>
    <d v="2016-12-01T00:00:00"/>
    <n v="1200000"/>
    <n v="27210.880000000001"/>
    <n v="1"/>
    <s v="Ипотека"/>
    <s v="Квартира"/>
    <m/>
    <x v="18"/>
    <s v="Уфимская"/>
    <n v="5"/>
    <n v="2"/>
    <n v="1999"/>
  </r>
  <r>
    <x v="146"/>
    <x v="215"/>
    <s v="Договор купли-продажи"/>
    <d v="2016-11-01T00:00:00"/>
    <d v="2016-12-01T00:00:00"/>
    <n v="1200000"/>
    <n v="27210.880000000001"/>
    <n v="1"/>
    <s v="Ипотека"/>
    <s v="Квартира"/>
    <m/>
    <x v="18"/>
    <s v="Уфимская"/>
    <n v="5"/>
    <n v="2"/>
    <n v="1999"/>
  </r>
  <r>
    <x v="147"/>
    <x v="331"/>
    <s v="Договор купли-продажи"/>
    <d v="2017-02-01T00:00:00"/>
    <d v="2017-02-01T00:00:00"/>
    <n v="1000000"/>
    <n v="27247.96"/>
    <n v="1"/>
    <s v="Ипотека"/>
    <s v="Квартира"/>
    <m/>
    <x v="18"/>
    <s v="Губкина"/>
    <n v="5"/>
    <n v="1"/>
    <n v="2006"/>
  </r>
  <r>
    <x v="135"/>
    <x v="332"/>
    <s v="Договор купли-продажи"/>
    <d v="2017-02-01T00:00:00"/>
    <d v="2017-02-01T00:00:00"/>
    <n v="1250000"/>
    <n v="27292.58"/>
    <n v="1"/>
    <s v="Ипотека"/>
    <s v="Квартира"/>
    <m/>
    <x v="18"/>
    <s v="Островского"/>
    <n v="1"/>
    <n v="1"/>
    <n v="2017"/>
  </r>
  <r>
    <x v="148"/>
    <x v="97"/>
    <s v="Договор купли-продажи"/>
    <d v="2016-12-01T00:00:00"/>
    <d v="2016-12-01T00:00:00"/>
    <n v="1440000"/>
    <n v="27324.48"/>
    <n v="1"/>
    <s v="Ипотека"/>
    <s v="Квартира"/>
    <m/>
    <x v="18"/>
    <s v="Космонавтов"/>
    <n v="1"/>
    <n v="1"/>
    <n v="2014"/>
  </r>
  <r>
    <x v="144"/>
    <x v="333"/>
    <s v="Договор купли-продажи"/>
    <d v="2017-03-01T00:00:00"/>
    <d v="2017-03-01T00:00:00"/>
    <n v="1400000"/>
    <n v="27343.75"/>
    <n v="1"/>
    <s v="Ипотека"/>
    <s v="Квартира"/>
    <m/>
    <x v="18"/>
    <m/>
    <n v="4"/>
    <n v="2"/>
    <n v="2002"/>
  </r>
  <r>
    <x v="143"/>
    <x v="100"/>
    <s v="Договор купли-продажи"/>
    <d v="2016-12-01T00:00:00"/>
    <d v="2016-12-01T00:00:00"/>
    <n v="1712000"/>
    <n v="27348.240000000002"/>
    <n v="1"/>
    <s v="Ипотека"/>
    <s v="Квартира"/>
    <m/>
    <x v="18"/>
    <m/>
    <n v="1"/>
    <n v="1"/>
    <n v="2015"/>
  </r>
  <r>
    <x v="144"/>
    <x v="334"/>
    <s v="Договор купли-продажи"/>
    <d v="2016-12-01T00:00:00"/>
    <d v="2016-12-01T00:00:00"/>
    <n v="2460000"/>
    <n v="27363.74"/>
    <n v="1"/>
    <s v="Ипотека"/>
    <s v="Квартира"/>
    <m/>
    <x v="18"/>
    <m/>
    <n v="2"/>
    <n v="1"/>
    <n v="2002"/>
  </r>
  <r>
    <x v="145"/>
    <x v="335"/>
    <s v="Договор купли-продажи"/>
    <d v="2016-10-01T00:00:00"/>
    <d v="2016-10-01T00:00:00"/>
    <n v="1870000"/>
    <n v="27379.21"/>
    <n v="1"/>
    <s v="Ипотека"/>
    <s v="Квартира"/>
    <m/>
    <x v="18"/>
    <s v="Бекетова"/>
    <m/>
    <n v="1"/>
    <n v="2015"/>
  </r>
  <r>
    <x v="135"/>
    <x v="227"/>
    <s v="Договор купли-продажи"/>
    <d v="2017-02-01T00:00:00"/>
    <d v="2017-03-01T00:00:00"/>
    <n v="1290000"/>
    <n v="27388.54"/>
    <n v="1"/>
    <s v="Ипотека"/>
    <s v="Квартира"/>
    <m/>
    <x v="18"/>
    <s v="Калинина"/>
    <n v="2"/>
    <n v="1"/>
    <n v="2017"/>
  </r>
  <r>
    <x v="136"/>
    <x v="19"/>
    <s v="Договор купли-продажи"/>
    <d v="2016-10-01T00:00:00"/>
    <d v="2016-10-01T00:00:00"/>
    <n v="880000"/>
    <n v="27414.33"/>
    <n v="1"/>
    <s v="Ипотека"/>
    <s v="Квартира"/>
    <m/>
    <x v="18"/>
    <s v="Калинина"/>
    <n v="3"/>
    <n v="1"/>
    <n v="2004"/>
  </r>
  <r>
    <x v="149"/>
    <x v="297"/>
    <s v="Договор купли-продажи"/>
    <d v="2016-09-01T00:00:00"/>
    <d v="2016-10-01T00:00:00"/>
    <n v="840000"/>
    <n v="27450.98"/>
    <n v="1"/>
    <s v="Ипотека"/>
    <s v="Квартира"/>
    <m/>
    <x v="18"/>
    <s v="Октябрьская"/>
    <n v="3"/>
    <n v="2"/>
    <n v="2006"/>
  </r>
  <r>
    <x v="149"/>
    <x v="297"/>
    <s v="Договор купли-продажи"/>
    <d v="2016-09-01T00:00:00"/>
    <d v="2016-10-01T00:00:00"/>
    <n v="840000"/>
    <n v="27450.98"/>
    <n v="1"/>
    <s v="Ипотека"/>
    <s v="Квартира"/>
    <m/>
    <x v="18"/>
    <s v="Октябрьская"/>
    <n v="3"/>
    <n v="2"/>
    <n v="2006"/>
  </r>
  <r>
    <x v="136"/>
    <x v="336"/>
    <s v="Договор купли-продажи"/>
    <d v="2017-02-01T00:00:00"/>
    <d v="2017-02-01T00:00:00"/>
    <n v="1080000"/>
    <n v="27480.92"/>
    <n v="1"/>
    <s v="Ипотека"/>
    <s v="Квартира"/>
    <m/>
    <x v="18"/>
    <s v="Островского"/>
    <n v="5"/>
    <n v="1"/>
    <n v="2001"/>
  </r>
  <r>
    <x v="150"/>
    <x v="337"/>
    <s v="Договор купли-продажи"/>
    <d v="2017-01-01T00:00:00"/>
    <d v="2017-01-01T00:00:00"/>
    <n v="880000"/>
    <n v="27500"/>
    <n v="1"/>
    <s v="Ипотека"/>
    <s v="Квартира"/>
    <m/>
    <x v="18"/>
    <s v="Революционная"/>
    <n v="1"/>
    <n v="2"/>
    <n v="2008"/>
  </r>
  <r>
    <x v="150"/>
    <x v="337"/>
    <s v="Договор купли-продажи"/>
    <d v="2017-01-01T00:00:00"/>
    <d v="2017-01-01T00:00:00"/>
    <n v="880000"/>
    <n v="27500"/>
    <n v="1"/>
    <s v="Ипотека"/>
    <s v="Квартира"/>
    <m/>
    <x v="18"/>
    <s v="Революционная"/>
    <n v="1"/>
    <n v="2"/>
    <n v="2008"/>
  </r>
  <r>
    <x v="151"/>
    <x v="338"/>
    <s v="Договор купли-продажи"/>
    <d v="2016-09-01T00:00:00"/>
    <d v="2016-10-01T00:00:00"/>
    <n v="2380000"/>
    <n v="27514.45"/>
    <n v="1"/>
    <s v="Ипотека"/>
    <s v="Квартира"/>
    <m/>
    <x v="18"/>
    <s v="Пархоменко"/>
    <n v="2"/>
    <n v="2"/>
    <n v="2002"/>
  </r>
  <r>
    <x v="151"/>
    <x v="338"/>
    <s v="Договор купли-продажи"/>
    <d v="2016-09-01T00:00:00"/>
    <d v="2016-10-01T00:00:00"/>
    <n v="2380000"/>
    <n v="27514.45"/>
    <n v="1"/>
    <s v="Ипотека"/>
    <s v="Квартира"/>
    <m/>
    <x v="18"/>
    <s v="Пархоменко"/>
    <n v="2"/>
    <n v="2"/>
    <n v="2002"/>
  </r>
  <r>
    <x v="148"/>
    <x v="335"/>
    <s v="Договор купли-продажи"/>
    <d v="2016-11-01T00:00:00"/>
    <d v="2016-11-01T00:00:00"/>
    <n v="1880800"/>
    <n v="27537.34"/>
    <n v="1"/>
    <s v="Ипотека"/>
    <s v="Квартира"/>
    <m/>
    <x v="18"/>
    <s v="Губкина"/>
    <n v="1"/>
    <n v="1"/>
    <n v="2016"/>
  </r>
  <r>
    <x v="138"/>
    <x v="304"/>
    <s v="Договор купли-продажи"/>
    <d v="2017-02-01T00:00:00"/>
    <d v="2017-03-01T00:00:00"/>
    <n v="1000000"/>
    <n v="27548.21"/>
    <n v="1"/>
    <s v="Ипотека"/>
    <s v="Квартира"/>
    <m/>
    <x v="18"/>
    <m/>
    <n v="3"/>
    <n v="1"/>
    <n v="2006"/>
  </r>
  <r>
    <x v="137"/>
    <x v="339"/>
    <s v="Договор купли-продажи"/>
    <d v="2017-02-01T00:00:00"/>
    <d v="2017-02-01T00:00:00"/>
    <n v="1615000"/>
    <n v="27606.84"/>
    <n v="1"/>
    <s v="Ипотека"/>
    <s v="Квартира"/>
    <m/>
    <x v="18"/>
    <s v="Юлаева"/>
    <n v="8"/>
    <n v="1"/>
    <n v="2009"/>
  </r>
  <r>
    <x v="143"/>
    <x v="156"/>
    <s v="Договор купли-продажи"/>
    <d v="2017-01-01T00:00:00"/>
    <d v="2017-01-01T00:00:00"/>
    <n v="1700000"/>
    <n v="27687.3"/>
    <n v="1"/>
    <s v="Ипотека"/>
    <s v="Квартира"/>
    <m/>
    <x v="18"/>
    <s v="Хмельницкого"/>
    <n v="1"/>
    <n v="1"/>
    <n v="2017"/>
  </r>
  <r>
    <x v="138"/>
    <x v="43"/>
    <s v="Договор купли-продажи"/>
    <d v="2017-02-01T00:00:00"/>
    <d v="2017-02-01T00:00:00"/>
    <n v="1013026"/>
    <n v="27754.14"/>
    <n v="1"/>
    <s v="Ипотека"/>
    <s v="Квартира"/>
    <m/>
    <x v="18"/>
    <s v="Островского"/>
    <n v="4"/>
    <n v="1"/>
    <n v="2003"/>
  </r>
  <r>
    <x v="143"/>
    <x v="340"/>
    <s v="Договор купли-продажи"/>
    <d v="2016-12-01T00:00:00"/>
    <d v="2016-12-01T00:00:00"/>
    <n v="1460000"/>
    <n v="27809.52"/>
    <n v="1"/>
    <s v="Ипотека"/>
    <s v="Квартира"/>
    <m/>
    <x v="18"/>
    <s v="Пугачева"/>
    <n v="1"/>
    <n v="2"/>
    <n v="2016"/>
  </r>
  <r>
    <x v="143"/>
    <x v="340"/>
    <s v="Договор купли-продажи"/>
    <d v="2016-12-01T00:00:00"/>
    <d v="2016-12-01T00:00:00"/>
    <n v="1460000"/>
    <n v="27809.52"/>
    <n v="1"/>
    <s v="Ипотека"/>
    <s v="Квартира"/>
    <m/>
    <x v="18"/>
    <s v="Пугачева"/>
    <n v="1"/>
    <n v="2"/>
    <n v="2016"/>
  </r>
  <r>
    <x v="135"/>
    <x v="200"/>
    <s v="Договор купли-продажи"/>
    <d v="2017-03-01T00:00:00"/>
    <d v="2017-03-01T00:00:00"/>
    <n v="1200000"/>
    <n v="27906.98"/>
    <n v="1"/>
    <s v="Ипотека"/>
    <s v="Квартира"/>
    <m/>
    <x v="18"/>
    <s v="Островского"/>
    <n v="3"/>
    <n v="1"/>
    <n v="2010"/>
  </r>
  <r>
    <x v="146"/>
    <x v="38"/>
    <s v="Договор купли-продажи"/>
    <d v="2016-11-01T00:00:00"/>
    <d v="2016-12-01T00:00:00"/>
    <n v="877500"/>
    <n v="27945.86"/>
    <n v="1"/>
    <s v="Ипотека"/>
    <s v="Квартира"/>
    <m/>
    <x v="18"/>
    <s v="Уфимская"/>
    <n v="1"/>
    <n v="1"/>
    <n v="2008"/>
  </r>
  <r>
    <x v="149"/>
    <x v="183"/>
    <s v="Договор купли-продажи"/>
    <d v="2017-02-01T00:00:00"/>
    <d v="2017-02-01T00:00:00"/>
    <n v="1200000"/>
    <n v="28037.38"/>
    <n v="1"/>
    <s v="Ипотека"/>
    <s v="Квартира"/>
    <m/>
    <x v="18"/>
    <s v="Космонавтов"/>
    <n v="3"/>
    <n v="1"/>
    <n v="2005"/>
  </r>
  <r>
    <x v="152"/>
    <x v="304"/>
    <s v="Договор купли-продажи"/>
    <d v="2016-10-01T00:00:00"/>
    <d v="2016-10-01T00:00:00"/>
    <n v="1020000"/>
    <n v="28099.17"/>
    <n v="1"/>
    <s v="Ипотека"/>
    <s v="Квартира"/>
    <m/>
    <x v="18"/>
    <m/>
    <n v="3"/>
    <n v="1"/>
    <n v="2008"/>
  </r>
  <r>
    <x v="143"/>
    <x v="84"/>
    <s v="Договор купли-продажи"/>
    <d v="2016-12-01T00:00:00"/>
    <d v="2016-12-01T00:00:00"/>
    <n v="1160000"/>
    <n v="28155.34"/>
    <n v="1"/>
    <s v="Ипотека"/>
    <s v="Квартира"/>
    <m/>
    <x v="18"/>
    <m/>
    <n v="3"/>
    <n v="1"/>
    <n v="2015"/>
  </r>
  <r>
    <x v="142"/>
    <x v="341"/>
    <s v="Договор купли-продажи"/>
    <d v="2017-02-01T00:00:00"/>
    <d v="2017-02-01T00:00:00"/>
    <n v="2500000"/>
    <n v="28184.89"/>
    <n v="1"/>
    <s v="Ипотека"/>
    <s v="Квартира"/>
    <m/>
    <x v="18"/>
    <s v="Юлаева"/>
    <n v="4"/>
    <n v="2"/>
    <n v="2011"/>
  </r>
  <r>
    <x v="142"/>
    <x v="341"/>
    <s v="Договор купли-продажи"/>
    <d v="2017-02-01T00:00:00"/>
    <d v="2017-02-01T00:00:00"/>
    <n v="2500000"/>
    <n v="28184.89"/>
    <n v="1"/>
    <s v="Ипотека"/>
    <s v="Квартира"/>
    <m/>
    <x v="18"/>
    <s v="Юлаева"/>
    <n v="4"/>
    <n v="2"/>
    <n v="2011"/>
  </r>
  <r>
    <x v="136"/>
    <x v="342"/>
    <s v="Договор купли-продажи"/>
    <d v="2017-02-01T00:00:00"/>
    <d v="2017-02-01T00:00:00"/>
    <n v="1280000"/>
    <n v="28193.83"/>
    <n v="1"/>
    <s v="Ипотека"/>
    <s v="Квартира"/>
    <m/>
    <x v="18"/>
    <s v="Калинина"/>
    <n v="5"/>
    <n v="1"/>
    <n v="2000"/>
  </r>
  <r>
    <x v="136"/>
    <x v="24"/>
    <s v="Договор купли-продажи"/>
    <d v="2016-11-01T00:00:00"/>
    <d v="2016-11-01T00:00:00"/>
    <n v="1280000"/>
    <n v="28256.07"/>
    <n v="1"/>
    <s v="Ипотека"/>
    <s v="Квартира"/>
    <m/>
    <x v="18"/>
    <s v="Островского"/>
    <n v="2"/>
    <n v="1"/>
    <n v="2013"/>
  </r>
  <r>
    <x v="135"/>
    <x v="343"/>
    <s v="Договор купли-продажи"/>
    <d v="2017-02-01T00:00:00"/>
    <d v="2017-02-01T00:00:00"/>
    <n v="1270000"/>
    <n v="28285.08"/>
    <n v="1"/>
    <s v="Ипотека"/>
    <s v="Квартира"/>
    <m/>
    <x v="18"/>
    <s v="Ленина"/>
    <n v="7"/>
    <n v="1"/>
    <n v="2002"/>
  </r>
  <r>
    <x v="144"/>
    <x v="344"/>
    <s v="Договор купли-продажи"/>
    <d v="2017-02-01T00:00:00"/>
    <d v="2017-03-01T00:00:00"/>
    <n v="1950000"/>
    <n v="28425.66"/>
    <n v="1"/>
    <s v="Ипотека"/>
    <s v="Квартира"/>
    <m/>
    <x v="18"/>
    <s v="Губайдуллина"/>
    <n v="1"/>
    <n v="1"/>
    <n v="2012"/>
  </r>
  <r>
    <x v="152"/>
    <x v="264"/>
    <s v="Договор купли-продажи"/>
    <d v="2016-10-01T00:00:00"/>
    <d v="2016-10-01T00:00:00"/>
    <n v="1550000"/>
    <n v="28440.37"/>
    <n v="1"/>
    <s v="Ипотека"/>
    <s v="Квартира"/>
    <m/>
    <x v="18"/>
    <s v="Юлаева"/>
    <n v="3"/>
    <n v="1"/>
    <n v="2008"/>
  </r>
  <r>
    <x v="146"/>
    <x v="345"/>
    <s v="Договор купли-продажи"/>
    <d v="2016-12-01T00:00:00"/>
    <d v="2016-12-01T00:00:00"/>
    <n v="1236000"/>
    <n v="28545.03"/>
    <n v="1"/>
    <s v="Ипотека"/>
    <s v="Квартира"/>
    <m/>
    <x v="18"/>
    <s v="Ленина"/>
    <n v="5"/>
    <n v="1"/>
    <n v="2015"/>
  </r>
  <r>
    <x v="152"/>
    <x v="345"/>
    <s v="Договор купли-продажи"/>
    <d v="2017-01-01T00:00:00"/>
    <d v="2017-01-01T00:00:00"/>
    <n v="1236000"/>
    <n v="28545.03"/>
    <n v="1"/>
    <s v="Ипотека"/>
    <s v="Квартира"/>
    <m/>
    <x v="18"/>
    <s v="Юлаева"/>
    <n v="2"/>
    <n v="2"/>
    <n v="2007"/>
  </r>
  <r>
    <x v="152"/>
    <x v="345"/>
    <s v="Договор купли-продажи"/>
    <d v="2017-01-01T00:00:00"/>
    <d v="2017-01-01T00:00:00"/>
    <n v="1236000"/>
    <n v="28545.03"/>
    <n v="1"/>
    <s v="Ипотека"/>
    <s v="Квартира"/>
    <m/>
    <x v="18"/>
    <s v="Юлаева"/>
    <n v="2"/>
    <n v="2"/>
    <n v="2007"/>
  </r>
  <r>
    <x v="139"/>
    <x v="123"/>
    <s v="Договор купли-продажи"/>
    <d v="2016-11-01T00:00:00"/>
    <d v="2016-12-01T00:00:00"/>
    <n v="1320000"/>
    <n v="28571.43"/>
    <n v="1"/>
    <s v="Ипотека"/>
    <s v="Квартира"/>
    <m/>
    <x v="18"/>
    <s v="Октябрьская"/>
    <n v="1"/>
    <n v="2"/>
    <n v="2016"/>
  </r>
  <r>
    <x v="139"/>
    <x v="123"/>
    <s v="Договор купли-продажи"/>
    <d v="2016-11-01T00:00:00"/>
    <d v="2016-12-01T00:00:00"/>
    <n v="1320000"/>
    <n v="28571.43"/>
    <n v="1"/>
    <s v="Ипотека"/>
    <s v="Квартира"/>
    <m/>
    <x v="18"/>
    <s v="Октябрьская"/>
    <n v="1"/>
    <n v="2"/>
    <n v="2016"/>
  </r>
  <r>
    <x v="152"/>
    <x v="346"/>
    <s v="Договор купли-продажи"/>
    <d v="2017-02-01T00:00:00"/>
    <d v="2017-02-01T00:00:00"/>
    <n v="1040000"/>
    <n v="28571.43"/>
    <n v="1"/>
    <s v="Ипотека"/>
    <s v="Квартира"/>
    <m/>
    <x v="18"/>
    <m/>
    <n v="5"/>
    <n v="1"/>
    <n v="2001"/>
  </r>
  <r>
    <x v="135"/>
    <x v="70"/>
    <s v="Договор купли-продажи"/>
    <d v="2016-11-01T00:00:00"/>
    <d v="2016-12-01T00:00:00"/>
    <n v="1280000"/>
    <n v="28699.55"/>
    <n v="1"/>
    <s v="Ипотека"/>
    <s v="Квартира"/>
    <m/>
    <x v="18"/>
    <s v="Юлаева"/>
    <n v="4"/>
    <n v="1"/>
    <n v="2001"/>
  </r>
  <r>
    <x v="137"/>
    <x v="67"/>
    <s v="Договор купли-продажи"/>
    <d v="2017-02-01T00:00:00"/>
    <d v="2017-02-01T00:00:00"/>
    <n v="1300000"/>
    <n v="28761.06"/>
    <n v="1"/>
    <s v="Ипотека"/>
    <s v="Квартира"/>
    <m/>
    <x v="18"/>
    <s v="Калинина"/>
    <n v="4"/>
    <n v="1"/>
    <n v="2004"/>
  </r>
  <r>
    <x v="142"/>
    <x v="347"/>
    <s v="Договор купли-продажи"/>
    <d v="2016-11-01T00:00:00"/>
    <d v="2016-11-01T00:00:00"/>
    <n v="2520000"/>
    <n v="28767.119999999999"/>
    <n v="1"/>
    <s v="Ипотека"/>
    <s v="Квартира"/>
    <m/>
    <x v="18"/>
    <s v="Бекетова"/>
    <n v="4"/>
    <n v="1"/>
    <n v="2010"/>
  </r>
  <r>
    <x v="149"/>
    <x v="342"/>
    <s v="Договор купли-продажи"/>
    <d v="2016-12-01T00:00:00"/>
    <d v="2016-12-01T00:00:00"/>
    <n v="1312000"/>
    <n v="28898.68"/>
    <n v="1"/>
    <s v="Ипотека"/>
    <s v="Квартира"/>
    <m/>
    <x v="18"/>
    <s v="Космонавтов"/>
    <n v="4"/>
    <n v="1"/>
    <n v="2005"/>
  </r>
  <r>
    <x v="137"/>
    <x v="49"/>
    <s v="Договор купли-продажи"/>
    <d v="2017-02-01T00:00:00"/>
    <d v="2017-03-01T00:00:00"/>
    <n v="1260000"/>
    <n v="28899.08"/>
    <n v="1"/>
    <s v="Ипотека"/>
    <s v="Помещение"/>
    <m/>
    <x v="18"/>
    <s v="Калинина"/>
    <n v="1"/>
    <n v="2"/>
    <n v="2013"/>
  </r>
  <r>
    <x v="137"/>
    <x v="49"/>
    <s v="Договор купли-продажи"/>
    <d v="2017-02-01T00:00:00"/>
    <d v="2017-03-01T00:00:00"/>
    <n v="1260000"/>
    <n v="28899.08"/>
    <n v="1"/>
    <s v="Ипотека"/>
    <s v="Помещение"/>
    <m/>
    <x v="18"/>
    <s v="Калинина"/>
    <n v="1"/>
    <n v="2"/>
    <n v="2013"/>
  </r>
  <r>
    <x v="146"/>
    <x v="190"/>
    <s v="Договор купли-продажи"/>
    <d v="2017-02-01T00:00:00"/>
    <d v="2017-02-01T00:00:00"/>
    <n v="1320000"/>
    <n v="29010.99"/>
    <n v="1"/>
    <s v="Ипотека"/>
    <s v="Квартира"/>
    <m/>
    <x v="18"/>
    <s v="Ленина"/>
    <n v="4"/>
    <n v="1"/>
    <n v="1999"/>
  </r>
  <r>
    <x v="153"/>
    <x v="48"/>
    <s v="Договор купли-продажи"/>
    <d v="2017-02-01T00:00:00"/>
    <d v="2017-02-01T00:00:00"/>
    <n v="1040000"/>
    <n v="29050.28"/>
    <n v="1"/>
    <s v="Ипотека"/>
    <s v="Квартира"/>
    <m/>
    <x v="18"/>
    <s v="Островского"/>
    <n v="3"/>
    <n v="1"/>
    <n v="2010"/>
  </r>
  <r>
    <x v="154"/>
    <x v="129"/>
    <s v="Договор купли-продажи"/>
    <d v="2017-02-01T00:00:00"/>
    <d v="2017-03-01T00:00:00"/>
    <n v="1238000"/>
    <n v="29061.03"/>
    <n v="1"/>
    <s v="Ипотека"/>
    <s v="Квартира"/>
    <m/>
    <x v="18"/>
    <s v="Ленина"/>
    <n v="5"/>
    <n v="1"/>
    <n v="2005"/>
  </r>
  <r>
    <x v="148"/>
    <x v="33"/>
    <s v="Договор купли-продажи"/>
    <d v="2016-12-01T00:00:00"/>
    <d v="2016-12-01T00:00:00"/>
    <n v="1480000"/>
    <n v="29076.62"/>
    <n v="1"/>
    <s v="Ипотека"/>
    <s v=" квартира"/>
    <m/>
    <x v="18"/>
    <s v="Губкина"/>
    <n v="8"/>
    <n v="2"/>
    <n v="2004"/>
  </r>
  <r>
    <x v="148"/>
    <x v="33"/>
    <s v="Договор купли-продажи"/>
    <d v="2016-12-01T00:00:00"/>
    <d v="2016-12-01T00:00:00"/>
    <n v="1480000"/>
    <n v="29076.62"/>
    <n v="1"/>
    <s v="Ипотека"/>
    <s v=" квартира"/>
    <m/>
    <x v="18"/>
    <s v="Губкина"/>
    <n v="8"/>
    <n v="2"/>
    <n v="2004"/>
  </r>
  <r>
    <x v="136"/>
    <x v="54"/>
    <s v="Договор купли-продажи"/>
    <d v="2017-01-01T00:00:00"/>
    <d v="2017-01-01T00:00:00"/>
    <n v="960000"/>
    <n v="29090.91"/>
    <n v="1"/>
    <s v="Ипотека"/>
    <s v="Квартира"/>
    <m/>
    <x v="18"/>
    <s v="Калинина"/>
    <n v="5"/>
    <n v="1"/>
    <n v="2006"/>
  </r>
  <r>
    <x v="155"/>
    <x v="24"/>
    <s v="Договор купли-продажи"/>
    <d v="2017-01-01T00:00:00"/>
    <d v="2017-01-01T00:00:00"/>
    <n v="1319000"/>
    <n v="29117"/>
    <n v="1"/>
    <s v="Ипотека"/>
    <s v="Квартира"/>
    <m/>
    <x v="18"/>
    <s v="Уфимская"/>
    <n v="4"/>
    <n v="1"/>
    <n v="2006"/>
  </r>
  <r>
    <x v="152"/>
    <x v="348"/>
    <s v="Договор купли-продажи"/>
    <d v="2016-10-01T00:00:00"/>
    <d v="2016-10-01T00:00:00"/>
    <n v="904000"/>
    <n v="29255.66"/>
    <n v="1"/>
    <s v="Ипотека"/>
    <s v="Квартира"/>
    <m/>
    <x v="18"/>
    <m/>
    <n v="3"/>
    <n v="1"/>
    <n v="2004"/>
  </r>
  <r>
    <x v="155"/>
    <x v="307"/>
    <s v="Договор купли-продажи"/>
    <d v="2017-03-01T00:00:00"/>
    <d v="2017-03-01T00:00:00"/>
    <n v="900000"/>
    <n v="29315.96"/>
    <n v="1"/>
    <s v="Ипотека"/>
    <s v="Квартира"/>
    <m/>
    <x v="18"/>
    <s v="Ленина"/>
    <n v="3"/>
    <n v="1"/>
    <n v="2003"/>
  </r>
  <r>
    <x v="134"/>
    <x v="86"/>
    <s v="Договор купли-продажи"/>
    <d v="2016-11-01T00:00:00"/>
    <d v="2016-11-01T00:00:00"/>
    <n v="1258000"/>
    <n v="29324.01"/>
    <n v="1"/>
    <s v="Ипотека"/>
    <s v="Квартира"/>
    <m/>
    <x v="18"/>
    <s v="Октябрьская"/>
    <n v="2"/>
    <n v="1"/>
    <n v="2011"/>
  </r>
  <r>
    <x v="144"/>
    <x v="349"/>
    <s v="Договор купли-продажи"/>
    <d v="2017-02-01T00:00:00"/>
    <d v="2017-02-01T00:00:00"/>
    <n v="1730000"/>
    <n v="29371.82"/>
    <n v="1"/>
    <s v="Ипотека"/>
    <s v="Квартира"/>
    <m/>
    <x v="18"/>
    <m/>
    <n v="1"/>
    <n v="2"/>
    <n v="2014"/>
  </r>
  <r>
    <x v="144"/>
    <x v="349"/>
    <s v="Договор купли-продажи"/>
    <d v="2017-02-01T00:00:00"/>
    <d v="2017-02-01T00:00:00"/>
    <n v="1730000"/>
    <n v="29371.82"/>
    <n v="1"/>
    <s v="Ипотека"/>
    <s v="Квартира"/>
    <m/>
    <x v="18"/>
    <m/>
    <n v="1"/>
    <n v="2"/>
    <n v="2014"/>
  </r>
  <r>
    <x v="156"/>
    <x v="219"/>
    <s v="Договор купли-продажи"/>
    <d v="2017-02-01T00:00:00"/>
    <d v="2017-02-01T00:00:00"/>
    <n v="1620000"/>
    <n v="29401.09"/>
    <n v="1"/>
    <s v="Ипотека"/>
    <s v="Квартира"/>
    <m/>
    <x v="18"/>
    <s v="Первомайская"/>
    <n v="2"/>
    <n v="1"/>
    <n v="2007"/>
  </r>
  <r>
    <x v="149"/>
    <x v="190"/>
    <s v="Договор купли-продажи"/>
    <d v="2016-11-01T00:00:00"/>
    <d v="2016-11-01T00:00:00"/>
    <n v="1338000"/>
    <n v="29406.59"/>
    <n v="1"/>
    <s v="Ипотека"/>
    <s v="Квартира"/>
    <m/>
    <x v="18"/>
    <s v="Космонавтов"/>
    <n v="4"/>
    <n v="1"/>
    <n v="2008"/>
  </r>
  <r>
    <x v="142"/>
    <x v="194"/>
    <s v="Договор купли-продажи"/>
    <d v="2016-10-01T00:00:00"/>
    <d v="2016-10-01T00:00:00"/>
    <n v="1440000"/>
    <n v="29447.85"/>
    <n v="1"/>
    <s v="Ипотека"/>
    <s v="Квартира"/>
    <m/>
    <x v="18"/>
    <s v="Калинина"/>
    <n v="4"/>
    <n v="2"/>
    <n v="2011"/>
  </r>
  <r>
    <x v="142"/>
    <x v="194"/>
    <s v="Договор купли-продажи"/>
    <d v="2016-10-01T00:00:00"/>
    <d v="2016-10-01T00:00:00"/>
    <n v="1440000"/>
    <n v="29447.85"/>
    <n v="1"/>
    <s v="Ипотека"/>
    <s v="Квартира"/>
    <m/>
    <x v="18"/>
    <s v="Калинина"/>
    <n v="4"/>
    <n v="2"/>
    <n v="2011"/>
  </r>
  <r>
    <x v="149"/>
    <x v="133"/>
    <s v="Договор купли-продажи"/>
    <d v="2016-12-01T00:00:00"/>
    <d v="2016-12-01T00:00:00"/>
    <n v="940000"/>
    <n v="29467.08"/>
    <n v="1"/>
    <s v="Ипотека"/>
    <s v="Квартира"/>
    <m/>
    <x v="18"/>
    <s v="Октябрьская"/>
    <n v="2"/>
    <n v="1"/>
    <n v="2008"/>
  </r>
  <r>
    <x v="136"/>
    <x v="25"/>
    <s v="Договор купли-продажи"/>
    <d v="2017-02-01T00:00:00"/>
    <d v="2017-02-01T00:00:00"/>
    <n v="1280000"/>
    <n v="29493.09"/>
    <n v="1"/>
    <s v="Ипотека"/>
    <s v="Квартира"/>
    <m/>
    <x v="18"/>
    <s v="Калинина"/>
    <n v="3"/>
    <n v="1"/>
    <n v="2002"/>
  </r>
  <r>
    <x v="153"/>
    <x v="350"/>
    <s v="Договор купли-продажи"/>
    <d v="2016-12-01T00:00:00"/>
    <d v="2016-12-01T00:00:00"/>
    <n v="1480000"/>
    <n v="29540.92"/>
    <n v="1"/>
    <s v="Ипотека"/>
    <s v="Квартира"/>
    <m/>
    <x v="18"/>
    <s v="Октябрьская"/>
    <n v="1"/>
    <n v="1"/>
    <n v="2011"/>
  </r>
  <r>
    <x v="144"/>
    <x v="109"/>
    <s v="Договор купли-продажи"/>
    <d v="2016-11-01T00:00:00"/>
    <d v="2016-11-01T00:00:00"/>
    <n v="1500000"/>
    <n v="29585.8"/>
    <n v="1"/>
    <s v="Ипотека"/>
    <s v="Квартира"/>
    <m/>
    <x v="18"/>
    <m/>
    <n v="5"/>
    <n v="1"/>
    <n v="2010"/>
  </r>
  <r>
    <x v="138"/>
    <x v="321"/>
    <s v="Договор купли-продажи"/>
    <d v="2016-12-01T00:00:00"/>
    <d v="2016-12-01T00:00:00"/>
    <n v="1030000"/>
    <n v="29683"/>
    <n v="1"/>
    <s v="Ипотека"/>
    <s v="Квартира"/>
    <m/>
    <x v="18"/>
    <s v="Островского"/>
    <n v="5"/>
    <n v="1"/>
    <n v="2012"/>
  </r>
  <r>
    <x v="157"/>
    <x v="351"/>
    <s v="Договор купли-продажи"/>
    <d v="2016-12-01T00:00:00"/>
    <d v="2016-12-01T00:00:00"/>
    <n v="1400000"/>
    <n v="29787.23"/>
    <n v="1"/>
    <s v="Ипотека"/>
    <s v="Квартира"/>
    <m/>
    <x v="18"/>
    <s v="Островского"/>
    <n v="3"/>
    <n v="1"/>
    <n v="2011"/>
  </r>
  <r>
    <x v="142"/>
    <x v="243"/>
    <s v="Договор купли-продажи"/>
    <d v="2016-11-01T00:00:00"/>
    <d v="2016-11-01T00:00:00"/>
    <n v="1840000"/>
    <n v="29821.72"/>
    <n v="1"/>
    <s v="Ипотека"/>
    <s v="Квартира"/>
    <m/>
    <x v="18"/>
    <s v="Бекетова"/>
    <s v="этаж мансардный"/>
    <n v="1"/>
    <n v="2009"/>
  </r>
  <r>
    <x v="136"/>
    <x v="12"/>
    <s v="Договор купли-продажи"/>
    <d v="2016-12-01T00:00:00"/>
    <d v="2016-12-01T00:00:00"/>
    <n v="1397000"/>
    <n v="29914.35"/>
    <n v="1"/>
    <s v="Ипотека"/>
    <s v="Квартира"/>
    <m/>
    <x v="18"/>
    <s v="Космонавтов"/>
    <n v="5"/>
    <n v="1"/>
    <n v="2004"/>
  </r>
  <r>
    <x v="144"/>
    <x v="309"/>
    <s v="Договор купли-продажи"/>
    <d v="2016-12-01T00:00:00"/>
    <d v="2016-12-01T00:00:00"/>
    <n v="2000000"/>
    <n v="30075.19"/>
    <n v="1"/>
    <s v="Ипотека"/>
    <s v="Квартира"/>
    <m/>
    <x v="18"/>
    <s v="Уфимская"/>
    <n v="1"/>
    <n v="1"/>
    <n v="2003"/>
  </r>
  <r>
    <x v="146"/>
    <x v="348"/>
    <s v="Договор купли-продажи"/>
    <d v="2017-03-01T00:00:00"/>
    <d v="2017-03-01T00:00:00"/>
    <n v="930000"/>
    <n v="30097.09"/>
    <n v="1"/>
    <s v="Ипотека"/>
    <s v="Квартира"/>
    <m/>
    <x v="18"/>
    <s v="Уфимская"/>
    <n v="3"/>
    <n v="1"/>
    <n v="2004"/>
  </r>
  <r>
    <x v="135"/>
    <x v="326"/>
    <s v="Договор купли-продажи"/>
    <d v="2016-11-01T00:00:00"/>
    <d v="2016-11-01T00:00:00"/>
    <n v="1376000"/>
    <n v="30175.439999999999"/>
    <n v="1"/>
    <s v="Ипотека"/>
    <s v="Квартира"/>
    <m/>
    <x v="18"/>
    <s v="Калинина"/>
    <n v="4"/>
    <n v="1"/>
    <n v="2011"/>
  </r>
  <r>
    <x v="148"/>
    <x v="32"/>
    <s v="Договор купли-продажи"/>
    <d v="2017-01-01T00:00:00"/>
    <d v="2017-02-01T00:00:00"/>
    <n v="1320000"/>
    <n v="30205.95"/>
    <n v="1"/>
    <s v="Ипотека"/>
    <s v="Квартира"/>
    <m/>
    <x v="18"/>
    <s v="30 лет Победы"/>
    <n v="4"/>
    <n v="1"/>
    <n v="2013"/>
  </r>
  <r>
    <x v="152"/>
    <x v="173"/>
    <s v="Договор купли-продажи"/>
    <d v="2017-01-01T00:00:00"/>
    <d v="2017-01-01T00:00:00"/>
    <n v="1306000"/>
    <n v="30231.48"/>
    <n v="1"/>
    <s v="Ипотека"/>
    <s v="Квартира"/>
    <m/>
    <x v="18"/>
    <s v="Юлаева"/>
    <n v="1"/>
    <n v="1"/>
    <n v="2007"/>
  </r>
  <r>
    <x v="146"/>
    <x v="349"/>
    <s v="Договор купли-продажи"/>
    <d v="2016-11-01T00:00:00"/>
    <d v="2016-11-01T00:00:00"/>
    <n v="1800000"/>
    <n v="30560.27"/>
    <n v="1"/>
    <s v="Ипотека"/>
    <s v="Квартира"/>
    <m/>
    <x v="18"/>
    <s v="Калинина"/>
    <n v="5"/>
    <n v="1"/>
    <n v="2005"/>
  </r>
  <r>
    <x v="144"/>
    <x v="283"/>
    <s v="Договор купли-продажи"/>
    <d v="2016-11-01T00:00:00"/>
    <d v="2016-12-01T00:00:00"/>
    <n v="1140000"/>
    <n v="30563"/>
    <n v="1"/>
    <s v="Ипотека"/>
    <s v="Квартира"/>
    <m/>
    <x v="18"/>
    <s v="Бочкарева"/>
    <n v="1"/>
    <n v="1"/>
    <n v="2010"/>
  </r>
  <r>
    <x v="146"/>
    <x v="56"/>
    <s v="Договор купли-продажи"/>
    <d v="2016-11-01T00:00:00"/>
    <d v="2016-11-01T00:00:00"/>
    <n v="884000"/>
    <n v="30588.240000000002"/>
    <n v="1"/>
    <s v="Ипотека"/>
    <s v="Квартира"/>
    <m/>
    <x v="18"/>
    <s v="Ленина"/>
    <n v="7"/>
    <n v="1"/>
    <n v="2010"/>
  </r>
  <r>
    <x v="158"/>
    <x v="352"/>
    <s v="Договор купли-продажи"/>
    <d v="2016-12-01T00:00:00"/>
    <d v="2016-12-01T00:00:00"/>
    <n v="1600000"/>
    <n v="30592.73"/>
    <n v="1"/>
    <s v="Ипотека"/>
    <s v="Квартира"/>
    <m/>
    <x v="18"/>
    <s v="Строителей"/>
    <n v="4"/>
    <n v="1"/>
    <n v="2016"/>
  </r>
  <r>
    <x v="149"/>
    <x v="353"/>
    <s v="Договор купли-продажи"/>
    <d v="2016-12-01T00:00:00"/>
    <d v="2017-01-01T00:00:00"/>
    <n v="1224000"/>
    <n v="30600"/>
    <n v="1"/>
    <s v="Ипотека"/>
    <s v="Квартира"/>
    <m/>
    <x v="18"/>
    <s v="Ленина"/>
    <n v="4"/>
    <n v="1"/>
    <n v="2000"/>
  </r>
  <r>
    <x v="138"/>
    <x v="252"/>
    <s v="Договор купли-продажи"/>
    <d v="2016-11-01T00:00:00"/>
    <d v="2016-11-01T00:00:00"/>
    <n v="1600000"/>
    <n v="30710.17"/>
    <n v="1"/>
    <s v="Ипотека"/>
    <s v="Квартира"/>
    <m/>
    <x v="18"/>
    <m/>
    <n v="4"/>
    <n v="1"/>
    <n v="2005"/>
  </r>
  <r>
    <x v="142"/>
    <x v="354"/>
    <s v="Договор купли-продажи"/>
    <d v="2016-10-01T00:00:00"/>
    <d v="2016-10-01T00:00:00"/>
    <n v="1140000"/>
    <n v="30810.81"/>
    <n v="1"/>
    <s v="Ипотека"/>
    <s v="Квартира"/>
    <m/>
    <x v="18"/>
    <s v="Калинина"/>
    <n v="5"/>
    <n v="1"/>
    <n v="2004"/>
  </r>
  <r>
    <x v="144"/>
    <x v="320"/>
    <s v="Договор купли-продажи"/>
    <d v="2016-12-01T00:00:00"/>
    <d v="2016-12-01T00:00:00"/>
    <n v="1240000"/>
    <n v="30845.77"/>
    <n v="1"/>
    <s v="Ипотека"/>
    <s v="Квартира"/>
    <m/>
    <x v="18"/>
    <m/>
    <n v="1"/>
    <n v="1"/>
    <n v="2002"/>
  </r>
  <r>
    <x v="136"/>
    <x v="149"/>
    <s v="Договор купли-продажи"/>
    <d v="2016-11-01T00:00:00"/>
    <d v="2016-11-01T00:00:00"/>
    <n v="1400000"/>
    <n v="31042.13"/>
    <n v="1"/>
    <s v="Ипотека"/>
    <s v="Квартира"/>
    <m/>
    <x v="18"/>
    <s v="Ленина"/>
    <n v="2"/>
    <n v="1"/>
    <n v="1999"/>
  </r>
  <r>
    <x v="137"/>
    <x v="355"/>
    <s v="Договор купли-продажи"/>
    <d v="2017-01-01T00:00:00"/>
    <d v="2017-01-01T00:00:00"/>
    <n v="1000000"/>
    <n v="31055.9"/>
    <n v="1"/>
    <s v="Ипотека"/>
    <s v="Квартира"/>
    <m/>
    <x v="18"/>
    <s v="Юлаева"/>
    <n v="9"/>
    <n v="1"/>
    <n v="2005"/>
  </r>
  <r>
    <x v="153"/>
    <x v="195"/>
    <s v="Договор купли-продажи"/>
    <d v="2017-02-01T00:00:00"/>
    <d v="2017-03-01T00:00:00"/>
    <n v="1620000"/>
    <n v="31334.62"/>
    <n v="1"/>
    <s v="Ипотека"/>
    <s v="Квартира"/>
    <m/>
    <x v="18"/>
    <s v="Октябрьская"/>
    <n v="8"/>
    <n v="1"/>
    <n v="2006"/>
  </r>
  <r>
    <x v="142"/>
    <x v="253"/>
    <s v="Договор купли-продажи"/>
    <d v="2016-11-01T00:00:00"/>
    <d v="2016-11-01T00:00:00"/>
    <n v="1595000"/>
    <n v="31646.83"/>
    <n v="1"/>
    <s v="Ипотека"/>
    <s v="Квартира"/>
    <m/>
    <x v="18"/>
    <m/>
    <n v="9"/>
    <n v="1"/>
    <n v="2010"/>
  </r>
  <r>
    <x v="144"/>
    <x v="356"/>
    <s v="Договор купли-продажи"/>
    <d v="2016-11-01T00:00:00"/>
    <d v="2016-11-01T00:00:00"/>
    <n v="2280000"/>
    <n v="31710.71"/>
    <n v="1"/>
    <s v="Ипотека"/>
    <s v="Квартира"/>
    <m/>
    <x v="18"/>
    <m/>
    <n v="3"/>
    <n v="2"/>
    <n v="2004"/>
  </r>
  <r>
    <x v="144"/>
    <x v="356"/>
    <s v="Договор купли-продажи"/>
    <d v="2016-11-01T00:00:00"/>
    <d v="2016-11-01T00:00:00"/>
    <n v="2280000"/>
    <n v="31710.71"/>
    <n v="1"/>
    <s v="Ипотека"/>
    <s v="Квартира"/>
    <m/>
    <x v="18"/>
    <m/>
    <n v="3"/>
    <n v="2"/>
    <n v="2004"/>
  </r>
  <r>
    <x v="144"/>
    <x v="234"/>
    <s v="Договор купли-продажи"/>
    <d v="2016-10-01T00:00:00"/>
    <d v="2016-10-01T00:00:00"/>
    <n v="1570000"/>
    <n v="31717.17"/>
    <n v="1"/>
    <s v="Ипотека"/>
    <s v="Квартира"/>
    <m/>
    <x v="18"/>
    <s v="Бочкарева"/>
    <n v="5"/>
    <n v="1"/>
    <n v="2004"/>
  </r>
  <r>
    <x v="138"/>
    <x v="229"/>
    <s v="Договор купли-продажи"/>
    <d v="2016-11-01T00:00:00"/>
    <d v="2016-11-01T00:00:00"/>
    <n v="1264000"/>
    <n v="31838.79"/>
    <n v="1"/>
    <s v="Ипотека"/>
    <s v="Квартира"/>
    <m/>
    <x v="18"/>
    <m/>
    <n v="1"/>
    <n v="1"/>
    <n v="2009"/>
  </r>
  <r>
    <x v="147"/>
    <x v="357"/>
    <s v="Договор купли-продажи"/>
    <d v="2016-10-01T00:00:00"/>
    <d v="2016-10-01T00:00:00"/>
    <n v="2020000"/>
    <n v="31861.200000000001"/>
    <n v="1"/>
    <s v="Ипотека"/>
    <s v="Квартира"/>
    <m/>
    <x v="18"/>
    <s v="Гагарина"/>
    <n v="2"/>
    <n v="1"/>
    <n v="2003"/>
  </r>
  <r>
    <x v="152"/>
    <x v="331"/>
    <s v="Договор купли-продажи"/>
    <d v="2016-12-01T00:00:00"/>
    <d v="2016-12-01T00:00:00"/>
    <n v="1169600"/>
    <n v="31869.21"/>
    <n v="1"/>
    <s v="Ипотека"/>
    <s v="Квартира"/>
    <m/>
    <x v="18"/>
    <s v="Островского"/>
    <n v="4"/>
    <n v="1"/>
    <n v="1999"/>
  </r>
  <r>
    <x v="157"/>
    <x v="210"/>
    <s v="Договор купли-продажи"/>
    <d v="2016-12-01T00:00:00"/>
    <d v="2016-12-01T00:00:00"/>
    <n v="1150000"/>
    <n v="31944.44"/>
    <n v="1"/>
    <s v="Ипотека"/>
    <s v="Квартира"/>
    <m/>
    <x v="18"/>
    <s v="30 лет Победы"/>
    <n v="4"/>
    <n v="1"/>
    <n v="2008"/>
  </r>
  <r>
    <x v="135"/>
    <x v="131"/>
    <s v="Договор купли-продажи"/>
    <d v="2016-10-01T00:00:00"/>
    <d v="2016-10-01T00:00:00"/>
    <n v="1400000"/>
    <n v="31963.47"/>
    <n v="1"/>
    <s v="Ипотека"/>
    <s v="Квартира"/>
    <m/>
    <x v="18"/>
    <s v="Ленина"/>
    <n v="3"/>
    <n v="2"/>
    <n v="2005"/>
  </r>
  <r>
    <x v="135"/>
    <x v="131"/>
    <s v="Договор купли-продажи"/>
    <d v="2016-10-01T00:00:00"/>
    <d v="2016-10-01T00:00:00"/>
    <n v="1400000"/>
    <n v="31963.47"/>
    <n v="1"/>
    <s v="Ипотека"/>
    <s v="Квартира"/>
    <m/>
    <x v="18"/>
    <s v="Ленина"/>
    <n v="3"/>
    <n v="2"/>
    <n v="2005"/>
  </r>
  <r>
    <x v="142"/>
    <x v="266"/>
    <s v="Договор купли-продажи"/>
    <d v="2016-09-01T00:00:00"/>
    <d v="2016-10-01T00:00:00"/>
    <n v="1590000"/>
    <n v="32056.45"/>
    <n v="1"/>
    <s v="Ипотека"/>
    <s v="Квартира"/>
    <m/>
    <x v="18"/>
    <s v="Губкина"/>
    <n v="9"/>
    <n v="1"/>
    <n v="2007"/>
  </r>
  <r>
    <x v="137"/>
    <x v="5"/>
    <s v="Договор купли-продажи"/>
    <d v="2016-12-01T00:00:00"/>
    <d v="2016-12-01T00:00:00"/>
    <n v="1000000"/>
    <n v="32258.06"/>
    <n v="1"/>
    <s v="Ипотека"/>
    <s v="Квартира"/>
    <m/>
    <x v="18"/>
    <s v="Островского"/>
    <n v="3"/>
    <n v="1"/>
    <n v="2006"/>
  </r>
  <r>
    <x v="137"/>
    <x v="193"/>
    <s v="Договор купли-продажи"/>
    <d v="2016-12-01T00:00:00"/>
    <d v="2016-12-01T00:00:00"/>
    <n v="1540000"/>
    <n v="32352.94"/>
    <n v="1"/>
    <s v="Ипотека"/>
    <s v="Квартира"/>
    <m/>
    <x v="18"/>
    <s v="Островского"/>
    <n v="1"/>
    <n v="2"/>
    <n v="2004"/>
  </r>
  <r>
    <x v="137"/>
    <x v="193"/>
    <s v="Договор купли-продажи"/>
    <d v="2016-12-01T00:00:00"/>
    <d v="2016-12-01T00:00:00"/>
    <n v="1540000"/>
    <n v="32352.94"/>
    <n v="1"/>
    <s v="Ипотека"/>
    <s v="Квартира"/>
    <m/>
    <x v="18"/>
    <s v="Островского"/>
    <n v="1"/>
    <n v="2"/>
    <n v="2004"/>
  </r>
  <r>
    <x v="148"/>
    <x v="201"/>
    <s v="Договор купли-продажи"/>
    <d v="2017-02-01T00:00:00"/>
    <d v="2017-02-01T00:00:00"/>
    <n v="1164800"/>
    <n v="32445.68"/>
    <n v="1"/>
    <s v="Ипотека"/>
    <s v="Квартира"/>
    <m/>
    <x v="18"/>
    <s v="Губкина"/>
    <n v="9"/>
    <n v="1"/>
    <n v="2005"/>
  </r>
  <r>
    <x v="146"/>
    <x v="358"/>
    <s v="Договор купли-продажи"/>
    <d v="2016-11-01T00:00:00"/>
    <d v="2016-11-01T00:00:00"/>
    <n v="1262000"/>
    <n v="32525.77"/>
    <n v="1"/>
    <s v="Ипотека"/>
    <s v="Квартира"/>
    <m/>
    <x v="18"/>
    <s v="Уфимская"/>
    <n v="8"/>
    <n v="1"/>
    <n v="2006"/>
  </r>
  <r>
    <x v="145"/>
    <x v="358"/>
    <s v="Договор купли-продажи"/>
    <d v="2016-12-01T00:00:00"/>
    <d v="2016-12-01T00:00:00"/>
    <n v="1264000"/>
    <n v="32577.32"/>
    <n v="1"/>
    <s v="Ипотека"/>
    <s v="Квартира"/>
    <m/>
    <x v="18"/>
    <s v="Парковая"/>
    <n v="5"/>
    <n v="1"/>
    <n v="2016"/>
  </r>
  <r>
    <x v="136"/>
    <x v="288"/>
    <s v="Договор купли-продажи"/>
    <d v="2017-02-01T00:00:00"/>
    <d v="2017-02-01T00:00:00"/>
    <n v="1500000"/>
    <n v="32679.74"/>
    <n v="1"/>
    <s v="Ипотека"/>
    <s v="Квартира"/>
    <m/>
    <x v="18"/>
    <s v="Калинина"/>
    <n v="3"/>
    <n v="1"/>
    <n v="2011"/>
  </r>
  <r>
    <x v="154"/>
    <x v="36"/>
    <s v="Договор купли-продажи"/>
    <d v="2016-11-01T00:00:00"/>
    <d v="2016-11-01T00:00:00"/>
    <n v="1100000"/>
    <n v="32934.129999999997"/>
    <n v="1"/>
    <s v="Ипотека"/>
    <s v="Квартира"/>
    <m/>
    <x v="18"/>
    <s v="Строителей"/>
    <n v="5"/>
    <n v="1"/>
    <n v="2005"/>
  </r>
  <r>
    <x v="144"/>
    <x v="341"/>
    <s v="Договор купли-продажи"/>
    <d v="2016-12-01T00:00:00"/>
    <d v="2016-12-01T00:00:00"/>
    <n v="2949000"/>
    <n v="33246.9"/>
    <n v="1"/>
    <s v="Ипотека"/>
    <s v="Квартира"/>
    <m/>
    <x v="18"/>
    <s v="Уфимская"/>
    <n v="2"/>
    <n v="1"/>
    <n v="2002"/>
  </r>
  <r>
    <x v="144"/>
    <x v="13"/>
    <s v="Договор купли-продажи"/>
    <d v="2016-10-01T00:00:00"/>
    <d v="2016-11-01T00:00:00"/>
    <n v="1750000"/>
    <n v="33269.96"/>
    <n v="1"/>
    <s v="Ипотека"/>
    <s v="Квартира"/>
    <m/>
    <x v="18"/>
    <m/>
    <n v="9"/>
    <n v="1"/>
    <n v="2004"/>
  </r>
  <r>
    <x v="137"/>
    <x v="359"/>
    <s v="Договор купли-продажи"/>
    <d v="2017-01-01T00:00:00"/>
    <d v="2017-01-01T00:00:00"/>
    <n v="2000000"/>
    <n v="33277.870000000003"/>
    <n v="1"/>
    <s v="Ипотека"/>
    <s v="Квартира"/>
    <m/>
    <x v="18"/>
    <s v="Юлаева"/>
    <n v="4"/>
    <n v="1"/>
    <n v="2003"/>
  </r>
  <r>
    <x v="135"/>
    <x v="14"/>
    <s v="Договор купли-продажи"/>
    <d v="2016-11-01T00:00:00"/>
    <d v="2016-12-01T00:00:00"/>
    <n v="1080000"/>
    <n v="33333.33"/>
    <n v="1"/>
    <s v="Ипотека"/>
    <s v="Квартира"/>
    <m/>
    <x v="18"/>
    <s v="Ленина"/>
    <n v="3"/>
    <n v="1"/>
    <n v="2005"/>
  </r>
  <r>
    <x v="159"/>
    <x v="88"/>
    <s v="Договор купли-продажи"/>
    <d v="2017-03-01T00:00:00"/>
    <d v="2017-03-01T00:00:00"/>
    <n v="1120000"/>
    <n v="33333.33"/>
    <n v="1"/>
    <s v="Ипотека"/>
    <s v="Квартира"/>
    <m/>
    <x v="18"/>
    <s v="Чапаева"/>
    <n v="3"/>
    <n v="1"/>
    <n v="2001"/>
  </r>
  <r>
    <x v="146"/>
    <x v="320"/>
    <s v="Договор купли-продажи"/>
    <d v="2016-11-01T00:00:00"/>
    <d v="2016-11-01T00:00:00"/>
    <n v="1350000"/>
    <n v="33582.089999999997"/>
    <n v="1"/>
    <s v="Ипотека"/>
    <s v="Квартира"/>
    <m/>
    <x v="18"/>
    <s v="Уфимская"/>
    <n v="1"/>
    <n v="2"/>
    <n v="2010"/>
  </r>
  <r>
    <x v="146"/>
    <x v="320"/>
    <s v="Договор купли-продажи"/>
    <d v="2016-11-01T00:00:00"/>
    <d v="2016-11-01T00:00:00"/>
    <n v="1350000"/>
    <n v="33582.089999999997"/>
    <n v="1"/>
    <s v="Ипотека"/>
    <s v="Квартира"/>
    <m/>
    <x v="18"/>
    <s v="Уфимская"/>
    <n v="1"/>
    <n v="2"/>
    <n v="2010"/>
  </r>
  <r>
    <x v="134"/>
    <x v="360"/>
    <s v="Договор купли-продажи"/>
    <d v="2017-02-01T00:00:00"/>
    <d v="2017-03-01T00:00:00"/>
    <n v="937500"/>
    <n v="33723.019999999997"/>
    <n v="1"/>
    <s v="Ипотека"/>
    <s v="Квартира"/>
    <m/>
    <x v="18"/>
    <s v="Космонавтов"/>
    <n v="2"/>
    <n v="1"/>
    <n v="2017"/>
  </r>
  <r>
    <x v="137"/>
    <x v="271"/>
    <s v="Договор купли-продажи"/>
    <d v="2017-02-01T00:00:00"/>
    <d v="2017-02-01T00:00:00"/>
    <n v="1050000"/>
    <n v="33762.06"/>
    <n v="1"/>
    <s v="Ипотека"/>
    <s v="Квартира"/>
    <m/>
    <x v="18"/>
    <s v="Калинина"/>
    <n v="3"/>
    <n v="1"/>
    <n v="2006"/>
  </r>
  <r>
    <x v="137"/>
    <x v="255"/>
    <s v="Договор купли-продажи"/>
    <d v="2017-03-01T00:00:00"/>
    <d v="2017-03-01T00:00:00"/>
    <n v="1520000"/>
    <n v="33777.78"/>
    <n v="1"/>
    <s v="Ипотека"/>
    <s v="Квартира"/>
    <m/>
    <x v="18"/>
    <s v="Калинина"/>
    <n v="2"/>
    <n v="1"/>
    <n v="2004"/>
  </r>
  <r>
    <x v="142"/>
    <x v="361"/>
    <s v="Договор купли-продажи"/>
    <d v="2016-11-01T00:00:00"/>
    <d v="2016-12-01T00:00:00"/>
    <n v="2320000"/>
    <n v="34017.599999999999"/>
    <n v="1"/>
    <s v="Ипотека"/>
    <s v="Квартира"/>
    <m/>
    <x v="18"/>
    <s v="Губкина"/>
    <n v="3"/>
    <n v="1"/>
    <n v="2012"/>
  </r>
  <r>
    <x v="157"/>
    <x v="20"/>
    <s v="Договор купли-продажи"/>
    <d v="2016-12-01T00:00:00"/>
    <d v="2016-12-01T00:00:00"/>
    <n v="1500000"/>
    <n v="34482.76"/>
    <n v="1"/>
    <s v="Ипотека"/>
    <s v="Квартира"/>
    <m/>
    <x v="18"/>
    <s v="30 лет Победы"/>
    <n v="3"/>
    <n v="1"/>
    <n v="2003"/>
  </r>
  <r>
    <x v="139"/>
    <x v="251"/>
    <s v="Договор купли-продажи"/>
    <d v="2017-03-01T00:00:00"/>
    <d v="2017-03-01T00:00:00"/>
    <n v="1550000"/>
    <n v="34598.21"/>
    <n v="1"/>
    <s v="Ипотека"/>
    <s v="Квартира"/>
    <m/>
    <x v="18"/>
    <s v="Октябрьская"/>
    <n v="2"/>
    <n v="2"/>
    <n v="2004"/>
  </r>
  <r>
    <x v="134"/>
    <x v="348"/>
    <s v="Договор купли-продажи"/>
    <d v="2016-12-01T00:00:00"/>
    <d v="2016-12-01T00:00:00"/>
    <n v="1070000"/>
    <n v="34627.83"/>
    <n v="1"/>
    <s v="Ипотека"/>
    <s v="Квартира"/>
    <m/>
    <x v="18"/>
    <s v="Ленина"/>
    <n v="2"/>
    <n v="1"/>
    <n v="2006"/>
  </r>
  <r>
    <x v="154"/>
    <x v="123"/>
    <s v="Договор купли-продажи"/>
    <d v="2016-10-01T00:00:00"/>
    <d v="2016-10-01T00:00:00"/>
    <n v="1600000"/>
    <n v="34632.03"/>
    <n v="1"/>
    <s v="Ипотека"/>
    <s v="Квартира"/>
    <m/>
    <x v="18"/>
    <s v="Калинина"/>
    <n v="3"/>
    <n v="1"/>
    <n v="2009"/>
  </r>
  <r>
    <x v="143"/>
    <x v="362"/>
    <s v="Договор купли-продажи"/>
    <d v="2017-03-01T00:00:00"/>
    <d v="2017-03-01T00:00:00"/>
    <n v="2556800"/>
    <n v="35120.879999999997"/>
    <n v="1"/>
    <s v="Ипотека"/>
    <s v="Квартира"/>
    <m/>
    <x v="18"/>
    <s v="Пугачева"/>
    <n v="1"/>
    <n v="1"/>
    <n v="2016"/>
  </r>
  <r>
    <x v="142"/>
    <x v="181"/>
    <s v="Договор купли-продажи"/>
    <d v="2016-11-01T00:00:00"/>
    <d v="2016-11-01T00:00:00"/>
    <n v="1430000"/>
    <n v="35396.04"/>
    <n v="1"/>
    <s v="Ипотека"/>
    <s v="Квартира"/>
    <m/>
    <x v="18"/>
    <s v="Бекетова"/>
    <n v="3"/>
    <n v="2"/>
    <n v="2007"/>
  </r>
  <r>
    <x v="142"/>
    <x v="181"/>
    <s v="Договор купли-продажи"/>
    <d v="2016-11-01T00:00:00"/>
    <d v="2016-11-01T00:00:00"/>
    <n v="1430000"/>
    <n v="35396.04"/>
    <n v="1"/>
    <s v="Ипотека"/>
    <s v="Квартира"/>
    <m/>
    <x v="18"/>
    <s v="Бекетова"/>
    <n v="3"/>
    <n v="2"/>
    <n v="2007"/>
  </r>
  <r>
    <x v="160"/>
    <x v="57"/>
    <s v="Договор купли-продажи"/>
    <d v="2016-10-01T00:00:00"/>
    <d v="2016-10-01T00:00:00"/>
    <n v="1210000"/>
    <n v="35798.82"/>
    <n v="1"/>
    <s v="Ипотека"/>
    <s v="Квартира"/>
    <m/>
    <x v="18"/>
    <s v="Калинина"/>
    <n v="4"/>
    <n v="1"/>
    <n v="2004"/>
  </r>
  <r>
    <x v="143"/>
    <x v="220"/>
    <s v="Договор купли-продажи"/>
    <d v="2017-02-01T00:00:00"/>
    <d v="2017-02-01T00:00:00"/>
    <n v="1258000"/>
    <n v="35942.86"/>
    <n v="1"/>
    <s v="Ипотека"/>
    <s v="Квартира"/>
    <m/>
    <x v="18"/>
    <s v="Пугачева"/>
    <n v="1"/>
    <n v="1"/>
    <n v="2016"/>
  </r>
  <r>
    <x v="144"/>
    <x v="68"/>
    <s v="Договор купли-продажи"/>
    <d v="2016-12-01T00:00:00"/>
    <d v="2016-12-01T00:00:00"/>
    <n v="1287828"/>
    <n v="36174.94"/>
    <n v="1"/>
    <s v="Ипотека"/>
    <s v="Квартира"/>
    <m/>
    <x v="18"/>
    <s v="Уфимская"/>
    <n v="2"/>
    <n v="1"/>
    <n v="2005"/>
  </r>
  <r>
    <x v="143"/>
    <x v="290"/>
    <s v="Договор купли-продажи"/>
    <d v="2017-02-01T00:00:00"/>
    <d v="2017-02-01T00:00:00"/>
    <n v="1043800"/>
    <n v="36369.339999999997"/>
    <n v="1"/>
    <s v="Ипотека"/>
    <s v="Квартира"/>
    <m/>
    <x v="18"/>
    <s v="Пугачева"/>
    <n v="1"/>
    <n v="1"/>
    <n v="2016"/>
  </r>
  <r>
    <x v="142"/>
    <x v="180"/>
    <s v="Договор купли-продажи"/>
    <d v="2016-10-01T00:00:00"/>
    <d v="2016-10-01T00:00:00"/>
    <n v="1500000"/>
    <n v="37037.040000000001"/>
    <n v="1"/>
    <s v="Ипотека"/>
    <s v="Квартира"/>
    <m/>
    <x v="18"/>
    <s v="Калинина"/>
    <n v="4"/>
    <n v="1"/>
    <n v="2003"/>
  </r>
  <r>
    <x v="153"/>
    <x v="7"/>
    <s v="Договор купли-продажи"/>
    <d v="2016-10-01T00:00:00"/>
    <d v="2016-10-01T00:00:00"/>
    <n v="1880000"/>
    <n v="37675.35"/>
    <n v="1"/>
    <s v="Ипотека"/>
    <s v="Квартира"/>
    <m/>
    <x v="18"/>
    <s v="Губкина"/>
    <n v="5"/>
    <n v="2"/>
    <n v="2002"/>
  </r>
  <r>
    <x v="153"/>
    <x v="7"/>
    <s v="Договор купли-продажи"/>
    <d v="2016-10-01T00:00:00"/>
    <d v="2016-10-01T00:00:00"/>
    <n v="1880000"/>
    <n v="37675.35"/>
    <n v="1"/>
    <s v="Ипотека"/>
    <s v="Квартира"/>
    <m/>
    <x v="18"/>
    <s v="Губкина"/>
    <n v="5"/>
    <n v="2"/>
    <n v="2002"/>
  </r>
  <r>
    <x v="146"/>
    <x v="265"/>
    <s v="Договор купли-продажи"/>
    <d v="2016-12-01T00:00:00"/>
    <d v="2016-12-01T00:00:00"/>
    <n v="2280000"/>
    <n v="38127.089999999997"/>
    <n v="1"/>
    <s v="Ипотека"/>
    <s v="Квартира"/>
    <m/>
    <x v="18"/>
    <s v="Уфимская"/>
    <n v="5"/>
    <n v="1"/>
    <n v="2005"/>
  </r>
  <r>
    <x v="138"/>
    <x v="363"/>
    <s v="Договор купли-продажи"/>
    <d v="2016-11-01T00:00:00"/>
    <d v="2016-11-01T00:00:00"/>
    <n v="2600000"/>
    <n v="38863.980000000003"/>
    <n v="1"/>
    <s v="Ипотека"/>
    <s v="Квартира"/>
    <m/>
    <x v="18"/>
    <s v="Островского"/>
    <n v="6"/>
    <n v="1"/>
    <n v="2004"/>
  </r>
  <r>
    <x v="142"/>
    <x v="58"/>
    <s v="Договор купли-продажи"/>
    <d v="2017-02-01T00:00:00"/>
    <d v="2017-02-01T00:00:00"/>
    <n v="1200000"/>
    <n v="40268.46"/>
    <n v="1"/>
    <s v="Ипотека"/>
    <s v="Квартира"/>
    <m/>
    <x v="18"/>
    <s v="Калинина"/>
    <n v="4"/>
    <n v="1"/>
    <n v="2007"/>
  </r>
  <r>
    <x v="161"/>
    <x v="364"/>
    <s v="Договор купли-продажи"/>
    <n v="42736"/>
    <n v="42767"/>
    <n v="1070000"/>
    <n v="22016.46"/>
    <n v="1"/>
    <s v="Ипотека"/>
    <s v="Квартира"/>
    <m/>
    <x v="19"/>
    <s v="Заки Валиди"/>
    <n v="4"/>
    <n v="2"/>
    <n v="2009"/>
  </r>
  <r>
    <x v="161"/>
    <x v="364"/>
    <s v="Договор купли-продажи"/>
    <n v="42736"/>
    <n v="42767"/>
    <n v="1070000"/>
    <n v="22016.46"/>
    <n v="1"/>
    <s v="Ипотека"/>
    <s v="Квартира"/>
    <m/>
    <x v="19"/>
    <s v="Заки Валиди"/>
    <n v="4"/>
    <n v="2"/>
    <n v="2009"/>
  </r>
  <r>
    <x v="162"/>
    <x v="14"/>
    <s v="Договор купли-продажи"/>
    <n v="42767"/>
    <n v="42767"/>
    <n v="720000"/>
    <n v="22222.22"/>
    <n v="1"/>
    <s v="Ипотека"/>
    <s v="Квартира"/>
    <m/>
    <x v="19"/>
    <s v="Интернациональный"/>
    <n v="1"/>
    <n v="1"/>
    <n v="2013"/>
  </r>
  <r>
    <x v="163"/>
    <x v="141"/>
    <s v="Договор купли-продажи"/>
    <n v="42675"/>
    <n v="42675"/>
    <n v="776000"/>
    <n v="22234.959999999999"/>
    <n v="1"/>
    <s v="Ипотека"/>
    <s v="Квартира"/>
    <m/>
    <x v="19"/>
    <s v="Чайковского"/>
    <n v="3"/>
    <n v="1"/>
    <n v="2001"/>
  </r>
  <r>
    <x v="161"/>
    <x v="365"/>
    <s v="Договор купли-продажи"/>
    <n v="42767"/>
    <n v="42767"/>
    <n v="408026"/>
    <n v="22419.01"/>
    <n v="1"/>
    <s v="Ипотека"/>
    <s v="Квартира"/>
    <m/>
    <x v="19"/>
    <s v="Ленина"/>
    <n v="5"/>
    <n v="1"/>
    <n v="2017"/>
  </r>
  <r>
    <x v="164"/>
    <x v="197"/>
    <s v="Договор купли-продажи"/>
    <n v="42644"/>
    <n v="42644"/>
    <n v="1400000"/>
    <n v="22435.9"/>
    <n v="1"/>
    <s v="Ипотека"/>
    <s v="Квартира"/>
    <m/>
    <x v="19"/>
    <s v="Горняков"/>
    <n v="3"/>
    <n v="1"/>
    <n v="2002"/>
  </r>
  <r>
    <x v="164"/>
    <x v="324"/>
    <s v="Договор купли-продажи"/>
    <n v="42644"/>
    <n v="42675"/>
    <n v="1400000"/>
    <n v="22471.91"/>
    <n v="1"/>
    <s v="Ипотека"/>
    <s v="Квартира"/>
    <m/>
    <x v="19"/>
    <s v="Горняков"/>
    <n v="4"/>
    <n v="2"/>
    <n v="2015"/>
  </r>
  <r>
    <x v="164"/>
    <x v="324"/>
    <s v="Договор купли-продажи"/>
    <n v="42644"/>
    <n v="42675"/>
    <n v="1400000"/>
    <n v="22471.91"/>
    <n v="1"/>
    <s v="Ипотека"/>
    <s v="Квартира"/>
    <m/>
    <x v="19"/>
    <s v="Горняков"/>
    <n v="4"/>
    <n v="2"/>
    <n v="2015"/>
  </r>
  <r>
    <x v="162"/>
    <x v="194"/>
    <s v="Договор купли-продажи"/>
    <n v="42675"/>
    <n v="42705"/>
    <n v="1100000"/>
    <n v="22494.89"/>
    <n v="1"/>
    <s v="Ипотека"/>
    <s v="Квартира"/>
    <m/>
    <x v="19"/>
    <s v="Индустриальное"/>
    <n v="6"/>
    <n v="1"/>
    <n v="2016"/>
  </r>
  <r>
    <x v="165"/>
    <x v="9"/>
    <s v="Договор купли-продажи"/>
    <n v="42614"/>
    <n v="42644"/>
    <n v="680000"/>
    <n v="22516.560000000001"/>
    <n v="1"/>
    <s v="Ипотека"/>
    <s v="Квартира"/>
    <m/>
    <x v="19"/>
    <s v="Горняков"/>
    <n v="2"/>
    <n v="1"/>
    <n v="2001"/>
  </r>
  <r>
    <x v="162"/>
    <x v="366"/>
    <s v="Договор купли-продажи"/>
    <n v="42705"/>
    <n v="42705"/>
    <n v="1600000"/>
    <n v="22567"/>
    <n v="1"/>
    <s v="Ипотека"/>
    <s v="Квартира"/>
    <m/>
    <x v="19"/>
    <s v="Индустриальное"/>
    <n v="7"/>
    <n v="1"/>
    <n v="2007"/>
  </r>
  <r>
    <x v="166"/>
    <x v="135"/>
    <s v="Договор купли-продажи"/>
    <n v="42736"/>
    <n v="42736"/>
    <n v="948000"/>
    <n v="22571.43"/>
    <n v="1"/>
    <s v="Ипотека"/>
    <s v="Квартира"/>
    <m/>
    <x v="19"/>
    <s v="Коммунистическая"/>
    <n v="4"/>
    <n v="1"/>
    <n v="2002"/>
  </r>
  <r>
    <x v="161"/>
    <x v="236"/>
    <s v="Договор купли-продажи"/>
    <n v="42795"/>
    <n v="42795"/>
    <n v="1400000"/>
    <n v="22950.82"/>
    <n v="1"/>
    <s v="Ипотека"/>
    <s v="Квартира"/>
    <m/>
    <x v="19"/>
    <s v="Ленина"/>
    <n v="5"/>
    <n v="2"/>
    <n v="2012"/>
  </r>
  <r>
    <x v="161"/>
    <x v="236"/>
    <s v="Договор купли-продажи"/>
    <n v="42795"/>
    <n v="42795"/>
    <n v="1400000"/>
    <n v="22950.82"/>
    <n v="1"/>
    <s v="Ипотека"/>
    <s v="Квартира"/>
    <m/>
    <x v="19"/>
    <s v="Ленина"/>
    <n v="5"/>
    <n v="2"/>
    <n v="2012"/>
  </r>
  <r>
    <x v="164"/>
    <x v="243"/>
    <s v="Договор купли-продажи"/>
    <n v="42644"/>
    <n v="42675"/>
    <n v="1420000"/>
    <n v="23014.59"/>
    <n v="1"/>
    <s v="Ипотека"/>
    <s v="Квартира"/>
    <m/>
    <x v="19"/>
    <m/>
    <n v="3"/>
    <n v="1"/>
    <n v="2014"/>
  </r>
  <r>
    <x v="163"/>
    <x v="318"/>
    <s v="Договор купли-продажи"/>
    <n v="42675"/>
    <n v="42675"/>
    <n v="1480000"/>
    <n v="23270.44"/>
    <n v="1"/>
    <s v="Ипотека"/>
    <s v="Квартира"/>
    <m/>
    <x v="19"/>
    <s v="Горняков"/>
    <n v="4"/>
    <n v="1"/>
    <n v="2014"/>
  </r>
  <r>
    <x v="163"/>
    <x v="193"/>
    <s v="Договор купли-продажи"/>
    <n v="42736"/>
    <n v="42767"/>
    <n v="1110000"/>
    <n v="23319.33"/>
    <n v="1"/>
    <s v="Ипотека"/>
    <s v="Квартира"/>
    <m/>
    <x v="19"/>
    <s v="Горняков"/>
    <n v="3"/>
    <n v="1"/>
    <n v="2014"/>
  </r>
  <r>
    <x v="166"/>
    <x v="255"/>
    <s v="Договор купли-продажи"/>
    <n v="42705"/>
    <n v="42705"/>
    <n v="1050000"/>
    <n v="23333.33"/>
    <n v="1"/>
    <s v="Ипотека"/>
    <s v="Квартира"/>
    <m/>
    <x v="19"/>
    <s v="Кирова"/>
    <n v="4"/>
    <n v="1"/>
    <n v="2016"/>
  </r>
  <r>
    <x v="167"/>
    <x v="62"/>
    <s v="Договор купли-продажи"/>
    <n v="42705"/>
    <n v="42705"/>
    <n v="768000"/>
    <n v="23343.47"/>
    <n v="1"/>
    <s v="Ипотека"/>
    <s v="Квартира"/>
    <m/>
    <x v="19"/>
    <s v="Островского"/>
    <n v="3"/>
    <n v="1"/>
    <n v="2014"/>
  </r>
  <r>
    <x v="162"/>
    <x v="367"/>
    <s v="Договор купли-продажи"/>
    <n v="42705"/>
    <n v="42705"/>
    <n v="1332800"/>
    <n v="23423.55"/>
    <n v="1"/>
    <s v="Ипотека"/>
    <s v="Квартира"/>
    <m/>
    <x v="19"/>
    <s v="Интернациональный"/>
    <n v="3"/>
    <n v="2"/>
    <n v="2014"/>
  </r>
  <r>
    <x v="162"/>
    <x v="367"/>
    <s v="Договор купли-продажи"/>
    <n v="42705"/>
    <n v="42705"/>
    <n v="1332800"/>
    <n v="23423.55"/>
    <n v="1"/>
    <s v="Ипотека"/>
    <s v="Квартира"/>
    <m/>
    <x v="19"/>
    <s v="Интернациональный"/>
    <n v="3"/>
    <n v="2"/>
    <n v="2014"/>
  </r>
  <r>
    <x v="164"/>
    <x v="83"/>
    <s v="Договор купли-продажи"/>
    <n v="42767"/>
    <n v="42767"/>
    <n v="900000"/>
    <n v="23437.5"/>
    <n v="1"/>
    <s v="Ипотека"/>
    <s v="Квартира"/>
    <m/>
    <x v="19"/>
    <m/>
    <n v="2"/>
    <n v="2"/>
    <n v="2011"/>
  </r>
  <r>
    <x v="164"/>
    <x v="83"/>
    <s v="Договор купли-продажи"/>
    <n v="42767"/>
    <n v="42767"/>
    <n v="900000"/>
    <n v="23437.5"/>
    <n v="1"/>
    <s v="Ипотека"/>
    <s v="Квартира"/>
    <m/>
    <x v="19"/>
    <m/>
    <n v="2"/>
    <n v="2"/>
    <n v="2011"/>
  </r>
  <r>
    <x v="161"/>
    <x v="255"/>
    <s v="Договор купли-продажи"/>
    <n v="42795"/>
    <n v="42795"/>
    <n v="1070000"/>
    <n v="23777.78"/>
    <n v="1"/>
    <s v="Ипотека"/>
    <s v="Квартира"/>
    <m/>
    <x v="19"/>
    <s v="Ленина"/>
    <n v="4"/>
    <n v="1"/>
    <n v="2001"/>
  </r>
  <r>
    <x v="168"/>
    <x v="59"/>
    <s v="Договор купли-продажи"/>
    <n v="42705"/>
    <n v="42705"/>
    <n v="1235000"/>
    <n v="23795.759999999998"/>
    <n v="1"/>
    <s v="Ипотека"/>
    <s v="Квартира"/>
    <m/>
    <x v="19"/>
    <s v="Лермонтова"/>
    <n v="1"/>
    <n v="1"/>
    <n v="2008"/>
  </r>
  <r>
    <x v="163"/>
    <x v="339"/>
    <s v="Договор купли-продажи"/>
    <n v="42705"/>
    <n v="42705"/>
    <n v="1400000"/>
    <n v="23931.62"/>
    <n v="1"/>
    <s v="Ипотека"/>
    <s v="Квартира"/>
    <m/>
    <x v="19"/>
    <s v="Чайковского"/>
    <n v="2"/>
    <n v="1"/>
    <n v="2003"/>
  </r>
  <r>
    <x v="163"/>
    <x v="6"/>
    <s v="Договор купли-продажи"/>
    <n v="42644"/>
    <n v="42644"/>
    <n v="880000"/>
    <n v="24043.72"/>
    <n v="1"/>
    <s v="Ипотека"/>
    <s v="Квартира"/>
    <m/>
    <x v="19"/>
    <s v="Чайковского"/>
    <n v="5"/>
    <n v="1"/>
    <n v="2000"/>
  </r>
  <r>
    <x v="162"/>
    <x v="368"/>
    <s v="Договор купли-продажи"/>
    <n v="42736"/>
    <n v="42736"/>
    <n v="1670000"/>
    <n v="24238.03"/>
    <n v="1"/>
    <s v="Ипотека"/>
    <s v="Квартира"/>
    <m/>
    <x v="19"/>
    <s v="Индустриальное"/>
    <n v="2"/>
    <n v="1"/>
    <n v="2005"/>
  </r>
  <r>
    <x v="161"/>
    <x v="369"/>
    <s v="Договор купли-продажи"/>
    <n v="42705"/>
    <n v="42705"/>
    <n v="720000"/>
    <n v="24324.32"/>
    <n v="1"/>
    <s v="Ипотека"/>
    <s v="Квартира"/>
    <m/>
    <x v="19"/>
    <s v="Заки Валиди"/>
    <n v="5"/>
    <n v="2"/>
    <n v="2007"/>
  </r>
  <r>
    <x v="161"/>
    <x v="369"/>
    <s v="Договор купли-продажи"/>
    <n v="42705"/>
    <n v="42705"/>
    <n v="720000"/>
    <n v="24324.32"/>
    <n v="1"/>
    <s v="Ипотека"/>
    <s v="Квартира"/>
    <m/>
    <x v="19"/>
    <s v="Заки Валиди"/>
    <n v="5"/>
    <n v="2"/>
    <n v="2007"/>
  </r>
  <r>
    <x v="165"/>
    <x v="222"/>
    <s v="Договор купли-продажи"/>
    <n v="42644"/>
    <n v="42644"/>
    <n v="1000000"/>
    <n v="24330.9"/>
    <n v="1"/>
    <s v="Ипотека"/>
    <s v="Квартира"/>
    <m/>
    <x v="19"/>
    <s v="Горняков"/>
    <n v="3"/>
    <n v="1"/>
    <n v="2008"/>
  </r>
  <r>
    <x v="169"/>
    <x v="370"/>
    <s v="Договор купли-продажи"/>
    <n v="42736"/>
    <n v="42736"/>
    <n v="1300000"/>
    <n v="24436.09"/>
    <n v="1"/>
    <s v="Ипотека"/>
    <s v="Квартира"/>
    <m/>
    <x v="19"/>
    <s v="Чайковского"/>
    <n v="2"/>
    <n v="1"/>
    <n v="2007"/>
  </r>
  <r>
    <x v="165"/>
    <x v="92"/>
    <s v="Договор купли-продажи"/>
    <n v="42767"/>
    <n v="42767"/>
    <n v="800000"/>
    <n v="24464.83"/>
    <n v="1"/>
    <s v="Ипотека"/>
    <s v="Квартира"/>
    <m/>
    <x v="19"/>
    <s v="Горького"/>
    <n v="2"/>
    <n v="1"/>
    <n v="2005"/>
  </r>
  <r>
    <x v="161"/>
    <x v="371"/>
    <s v="Договор купли-продажи"/>
    <n v="42644"/>
    <n v="42675"/>
    <n v="1170000"/>
    <n v="24631.58"/>
    <n v="1"/>
    <s v="Ипотека"/>
    <s v="Квартира"/>
    <m/>
    <x v="19"/>
    <s v="Заки Валиди"/>
    <n v="1"/>
    <n v="1"/>
    <n v="2007"/>
  </r>
  <r>
    <x v="162"/>
    <x v="227"/>
    <s v="Договор купли-продажи"/>
    <n v="42736"/>
    <n v="42736"/>
    <n v="1168800"/>
    <n v="24815.29"/>
    <n v="1"/>
    <s v="Ипотека"/>
    <s v="Квартира"/>
    <m/>
    <x v="19"/>
    <s v="Ветеранов"/>
    <n v="1"/>
    <n v="1"/>
    <n v="2012"/>
  </r>
  <r>
    <x v="165"/>
    <x v="345"/>
    <s v="Договор купли-продажи"/>
    <n v="42644"/>
    <n v="42644"/>
    <n v="1080000"/>
    <n v="24942.26"/>
    <n v="1"/>
    <s v="Ипотека"/>
    <s v="Квартира"/>
    <m/>
    <x v="19"/>
    <s v="Коммунистическая"/>
    <n v="4"/>
    <n v="1"/>
    <n v="2006"/>
  </r>
  <r>
    <x v="165"/>
    <x v="20"/>
    <s v="Договор купли-продажи"/>
    <n v="42644"/>
    <n v="42644"/>
    <n v="1090000"/>
    <n v="25057.47"/>
    <n v="1"/>
    <s v="Ипотека"/>
    <s v="Квартира"/>
    <m/>
    <x v="19"/>
    <s v="Учалинская"/>
    <n v="3"/>
    <n v="1"/>
    <n v="2012"/>
  </r>
  <r>
    <x v="162"/>
    <x v="372"/>
    <s v="Договор купли-продажи"/>
    <n v="42736"/>
    <n v="42736"/>
    <n v="787000"/>
    <n v="25143.77"/>
    <n v="1"/>
    <s v="Ипотека"/>
    <s v="Квартира"/>
    <m/>
    <x v="19"/>
    <s v="Индустриальное"/>
    <n v="2"/>
    <n v="1"/>
    <n v="2016"/>
  </r>
  <r>
    <x v="167"/>
    <x v="96"/>
    <s v="Договор купли-продажи"/>
    <n v="42795"/>
    <n v="42795"/>
    <n v="1400000"/>
    <n v="25179.86"/>
    <n v="1"/>
    <s v="Ипотека"/>
    <s v="Квартира"/>
    <m/>
    <x v="19"/>
    <s v="Горняков"/>
    <n v="2"/>
    <n v="1"/>
    <n v="2005"/>
  </r>
  <r>
    <x v="167"/>
    <x v="242"/>
    <s v="Договор купли-продажи"/>
    <n v="42614"/>
    <n v="42644"/>
    <n v="1600000"/>
    <n v="25518.34"/>
    <n v="1"/>
    <s v="Ипотека"/>
    <s v="Квартира"/>
    <m/>
    <x v="19"/>
    <s v="Белова"/>
    <n v="3"/>
    <n v="1"/>
    <n v="2010"/>
  </r>
  <r>
    <x v="163"/>
    <x v="373"/>
    <s v="Договор купли-продажи"/>
    <n v="42795"/>
    <n v="42795"/>
    <n v="453100"/>
    <n v="25598.87"/>
    <n v="1"/>
    <s v="Ипотека"/>
    <s v="Квартира"/>
    <m/>
    <x v="19"/>
    <s v="Горняков"/>
    <n v="1"/>
    <n v="1"/>
    <n v="2010"/>
  </r>
  <r>
    <x v="165"/>
    <x v="46"/>
    <s v="Договор купли-продажи"/>
    <n v="42675"/>
    <n v="42675"/>
    <n v="840000"/>
    <n v="25609.759999999998"/>
    <n v="1"/>
    <s v="Ипотека"/>
    <s v="Квартира"/>
    <m/>
    <x v="19"/>
    <s v="Горького"/>
    <n v="3"/>
    <n v="1"/>
    <n v="2004"/>
  </r>
  <r>
    <x v="162"/>
    <x v="227"/>
    <s v="Договор купли-продажи"/>
    <n v="42675"/>
    <n v="42705"/>
    <n v="1210240"/>
    <n v="25695.119999999999"/>
    <n v="1"/>
    <s v="Ипотека"/>
    <s v="Квартира"/>
    <m/>
    <x v="19"/>
    <s v="Индустриальное"/>
    <n v="7"/>
    <n v="1"/>
    <n v="2016"/>
  </r>
  <r>
    <x v="166"/>
    <x v="357"/>
    <s v="Договор купли-продажи"/>
    <n v="42736"/>
    <n v="42736"/>
    <n v="1640000"/>
    <n v="25867.51"/>
    <n v="1"/>
    <s v="Ипотека"/>
    <s v="Квартира"/>
    <m/>
    <x v="19"/>
    <s v="Заки Валиди"/>
    <n v="2"/>
    <n v="1"/>
    <n v="2016"/>
  </r>
  <r>
    <x v="161"/>
    <x v="348"/>
    <s v="Договор купли-продажи"/>
    <n v="42795"/>
    <n v="42795"/>
    <n v="800000"/>
    <n v="25889.97"/>
    <n v="1"/>
    <s v="Ипотека"/>
    <s v="Квартира"/>
    <m/>
    <x v="19"/>
    <s v="Ленина"/>
    <n v="4"/>
    <n v="1"/>
    <n v="2002"/>
  </r>
  <r>
    <x v="162"/>
    <x v="38"/>
    <s v="Договор купли-продажи"/>
    <n v="42705"/>
    <n v="42705"/>
    <n v="818400"/>
    <n v="26063.69"/>
    <n v="1"/>
    <s v="Ипотека"/>
    <s v="Квартира"/>
    <m/>
    <x v="19"/>
    <s v="Индустриальное"/>
    <n v="3"/>
    <n v="1"/>
    <n v="2016"/>
  </r>
  <r>
    <x v="168"/>
    <x v="374"/>
    <s v="Договор купли-продажи"/>
    <n v="42644"/>
    <n v="42675"/>
    <n v="2027063"/>
    <n v="26223.32"/>
    <n v="1"/>
    <s v="Ипотека"/>
    <s v="Квартира"/>
    <m/>
    <x v="19"/>
    <s v="Горняков"/>
    <n v="3"/>
    <n v="1"/>
    <n v="2002"/>
  </r>
  <r>
    <x v="163"/>
    <x v="54"/>
    <s v="Договор купли-продажи"/>
    <n v="42705"/>
    <n v="42705"/>
    <n v="870400"/>
    <n v="26375.759999999998"/>
    <n v="1"/>
    <s v="Ипотека"/>
    <s v="Квартира"/>
    <m/>
    <x v="19"/>
    <s v="Белова"/>
    <n v="2"/>
    <n v="1"/>
    <n v="2000"/>
  </r>
  <r>
    <x v="167"/>
    <x v="33"/>
    <s v="Договор купли-продажи"/>
    <n v="42767"/>
    <n v="42767"/>
    <n v="1350000"/>
    <n v="26522.59"/>
    <n v="1"/>
    <s v="Ипотека"/>
    <s v="Квартира"/>
    <m/>
    <x v="19"/>
    <m/>
    <n v="2"/>
    <n v="2"/>
    <n v="2013"/>
  </r>
  <r>
    <x v="167"/>
    <x v="33"/>
    <s v="Договор купли-продажи"/>
    <n v="42767"/>
    <n v="42767"/>
    <n v="1350000"/>
    <n v="26522.59"/>
    <n v="1"/>
    <s v="Ипотека"/>
    <s v="Квартира"/>
    <m/>
    <x v="19"/>
    <m/>
    <n v="2"/>
    <n v="2"/>
    <n v="2013"/>
  </r>
  <r>
    <x v="166"/>
    <x v="307"/>
    <s v="Договор купли-продажи"/>
    <n v="42767"/>
    <n v="42795"/>
    <n v="816300"/>
    <n v="26589.58"/>
    <n v="1"/>
    <s v="Ипотека"/>
    <s v="Квартира"/>
    <m/>
    <x v="19"/>
    <s v="Кирова"/>
    <n v="4"/>
    <n v="2"/>
    <n v="2004"/>
  </r>
  <r>
    <x v="166"/>
    <x v="307"/>
    <s v="Договор купли-продажи"/>
    <n v="42767"/>
    <n v="42795"/>
    <n v="816300"/>
    <n v="26589.58"/>
    <n v="1"/>
    <s v="Ипотека"/>
    <s v="Квартира"/>
    <m/>
    <x v="19"/>
    <s v="Кирова"/>
    <n v="4"/>
    <n v="2"/>
    <n v="2004"/>
  </r>
  <r>
    <x v="164"/>
    <x v="181"/>
    <s v="Договор купли-продажи"/>
    <n v="42644"/>
    <n v="42644"/>
    <n v="1080000"/>
    <n v="26732.67"/>
    <n v="1"/>
    <s v="Ипотека"/>
    <s v="Квартира"/>
    <m/>
    <x v="19"/>
    <s v="Горняков"/>
    <n v="4"/>
    <n v="1"/>
    <n v="2002"/>
  </r>
  <r>
    <x v="165"/>
    <x v="86"/>
    <s v="Договор купли-продажи"/>
    <n v="42614"/>
    <n v="42644"/>
    <n v="1150000"/>
    <n v="26806.53"/>
    <n v="1"/>
    <s v="Ипотека"/>
    <s v="Квартира"/>
    <m/>
    <x v="19"/>
    <s v="Горького"/>
    <n v="3"/>
    <n v="2"/>
    <n v="2011"/>
  </r>
  <r>
    <x v="165"/>
    <x v="86"/>
    <s v="Договор купли-продажи"/>
    <n v="42614"/>
    <n v="42644"/>
    <n v="1150000"/>
    <n v="26806.53"/>
    <n v="1"/>
    <s v="Ипотека"/>
    <s v="Квартира"/>
    <m/>
    <x v="19"/>
    <s v="Горького"/>
    <n v="3"/>
    <n v="2"/>
    <n v="2011"/>
  </r>
  <r>
    <x v="161"/>
    <x v="9"/>
    <s v="Договор купли-продажи"/>
    <n v="42675"/>
    <n v="42705"/>
    <n v="816000"/>
    <n v="27019.87"/>
    <n v="1"/>
    <s v="Ипотека"/>
    <s v="Квартира"/>
    <m/>
    <x v="19"/>
    <s v="Ленина"/>
    <n v="5"/>
    <n v="1"/>
    <n v="2008"/>
  </r>
  <r>
    <x v="161"/>
    <x v="288"/>
    <s v="Договор купли-продажи"/>
    <n v="42736"/>
    <n v="42736"/>
    <n v="1250000"/>
    <n v="27233.119999999999"/>
    <n v="1"/>
    <s v="Ипотека"/>
    <s v="Квартира"/>
    <m/>
    <x v="19"/>
    <s v="Ленина"/>
    <n v="5"/>
    <n v="1"/>
    <n v="2001"/>
  </r>
  <r>
    <x v="165"/>
    <x v="15"/>
    <s v="Договор купли-продажи"/>
    <n v="42644"/>
    <n v="42644"/>
    <n v="1360000"/>
    <n v="27530.36"/>
    <n v="1"/>
    <s v="Ипотека"/>
    <s v="Квартира"/>
    <m/>
    <x v="19"/>
    <s v="Матросова"/>
    <n v="2"/>
    <n v="1"/>
    <n v="2012"/>
  </r>
  <r>
    <x v="164"/>
    <x v="251"/>
    <s v="Договор купли-продажи"/>
    <n v="42736"/>
    <n v="42736"/>
    <n v="1242400"/>
    <n v="27732.14"/>
    <n v="1"/>
    <s v="Ипотека"/>
    <s v="Квартира"/>
    <m/>
    <x v="19"/>
    <s v="Горняков"/>
    <n v="2"/>
    <n v="1"/>
    <n v="2002"/>
  </r>
  <r>
    <x v="164"/>
    <x v="355"/>
    <s v="Договор купли-продажи"/>
    <n v="42705"/>
    <n v="42705"/>
    <n v="900000"/>
    <n v="27950.31"/>
    <n v="1"/>
    <s v="Ипотека"/>
    <s v="Квартира"/>
    <m/>
    <x v="19"/>
    <s v="Ленина"/>
    <n v="4"/>
    <n v="2"/>
    <n v="2002"/>
  </r>
  <r>
    <x v="164"/>
    <x v="355"/>
    <s v="Договор купли-продажи"/>
    <n v="42705"/>
    <n v="42705"/>
    <n v="900000"/>
    <n v="27950.31"/>
    <n v="1"/>
    <s v="Ипотека"/>
    <s v="Квартира"/>
    <m/>
    <x v="19"/>
    <s v="Ленина"/>
    <n v="4"/>
    <n v="2"/>
    <n v="2002"/>
  </r>
  <r>
    <x v="167"/>
    <x v="132"/>
    <s v="Договор купли-продажи"/>
    <n v="42705"/>
    <n v="42736"/>
    <n v="850000"/>
    <n v="27960.53"/>
    <n v="1"/>
    <s v="Ипотека"/>
    <s v="Квартира"/>
    <m/>
    <x v="19"/>
    <s v="Горняков"/>
    <n v="4"/>
    <n v="1"/>
    <n v="2008"/>
  </r>
  <r>
    <x v="167"/>
    <x v="375"/>
    <s v="Договор купли-продажи"/>
    <n v="42675"/>
    <n v="42675"/>
    <n v="1350000"/>
    <n v="28066.53"/>
    <n v="1"/>
    <s v="Ипотека"/>
    <s v="Квартира"/>
    <m/>
    <x v="19"/>
    <s v="Островского"/>
    <n v="3"/>
    <n v="1"/>
    <n v="2014"/>
  </r>
  <r>
    <x v="161"/>
    <x v="198"/>
    <s v="Договор купли-продажи"/>
    <n v="42767"/>
    <n v="42767"/>
    <n v="850000"/>
    <n v="28239.200000000001"/>
    <n v="1"/>
    <s v="Ипотека"/>
    <s v="Квартира"/>
    <m/>
    <x v="19"/>
    <s v="Ленина"/>
    <n v="2"/>
    <n v="1"/>
    <n v="2002"/>
  </r>
  <r>
    <x v="170"/>
    <x v="65"/>
    <s v="Договор купли-продажи"/>
    <n v="42705"/>
    <n v="42705"/>
    <n v="1160000"/>
    <n v="28361.86"/>
    <n v="1"/>
    <s v="Ипотека"/>
    <s v="Квартира"/>
    <m/>
    <x v="19"/>
    <s v="Мирная"/>
    <n v="1"/>
    <n v="1"/>
    <n v="2011"/>
  </r>
  <r>
    <x v="163"/>
    <x v="74"/>
    <s v="Договор купли-продажи"/>
    <n v="42795"/>
    <n v="42795"/>
    <n v="1700000"/>
    <n v="28619.53"/>
    <n v="1"/>
    <s v="Ипотека"/>
    <s v="Квартира"/>
    <m/>
    <x v="19"/>
    <s v="Белова"/>
    <n v="2"/>
    <n v="1"/>
    <n v="2012"/>
  </r>
  <r>
    <x v="161"/>
    <x v="100"/>
    <s v="Договор купли-продажи"/>
    <n v="42767"/>
    <n v="42767"/>
    <n v="1800000"/>
    <n v="28753.99"/>
    <n v="1"/>
    <s v="Ипотека"/>
    <s v="Квартира"/>
    <m/>
    <x v="19"/>
    <s v="Заки Валиди"/>
    <n v="2"/>
    <n v="2"/>
    <n v="2007"/>
  </r>
  <r>
    <x v="161"/>
    <x v="100"/>
    <s v="Договор купли-продажи"/>
    <n v="42767"/>
    <n v="42767"/>
    <n v="1800000"/>
    <n v="28753.99"/>
    <n v="1"/>
    <s v="Ипотека"/>
    <s v="Квартира"/>
    <m/>
    <x v="19"/>
    <s v="Заки Валиди"/>
    <n v="2"/>
    <n v="2"/>
    <n v="2007"/>
  </r>
  <r>
    <x v="161"/>
    <x v="321"/>
    <s v="Договор купли-продажи"/>
    <n v="42736"/>
    <n v="42736"/>
    <n v="1040000"/>
    <n v="29971.18"/>
    <n v="1"/>
    <s v="Ипотека"/>
    <s v="Квартира"/>
    <m/>
    <x v="19"/>
    <s v="Ленина"/>
    <n v="2"/>
    <n v="1"/>
    <n v="2003"/>
  </r>
  <r>
    <x v="162"/>
    <x v="148"/>
    <s v="Договор купли-продажи"/>
    <n v="42767"/>
    <n v="42767"/>
    <n v="1040000"/>
    <n v="30144.93"/>
    <n v="1"/>
    <s v="Ипотека"/>
    <s v="Квартира"/>
    <m/>
    <x v="19"/>
    <s v="Кусимова"/>
    <n v="5"/>
    <n v="1"/>
    <n v="1999"/>
  </r>
  <r>
    <x v="166"/>
    <x v="90"/>
    <s v="Договор купли-продажи"/>
    <n v="42705"/>
    <n v="42705"/>
    <n v="1000000"/>
    <n v="30674.85"/>
    <n v="1"/>
    <s v="Ипотека"/>
    <s v="Квартира"/>
    <m/>
    <x v="19"/>
    <s v="Ленина"/>
    <n v="2"/>
    <n v="1"/>
    <n v="2001"/>
  </r>
  <r>
    <x v="166"/>
    <x v="376"/>
    <s v="Договор купли-продажи"/>
    <n v="42795"/>
    <n v="42795"/>
    <n v="8164000"/>
    <n v="30912.53"/>
    <n v="1"/>
    <s v="Ипотека"/>
    <s v="Помещение"/>
    <m/>
    <x v="19"/>
    <s v="Ленина"/>
    <n v="1"/>
    <n v="1"/>
    <n v="2008"/>
  </r>
  <r>
    <x v="161"/>
    <x v="377"/>
    <s v="Договор купли-продажи"/>
    <n v="42795"/>
    <n v="42795"/>
    <n v="920000"/>
    <n v="31399.32"/>
    <n v="1"/>
    <s v="Ипотека"/>
    <s v="Квартира"/>
    <m/>
    <x v="19"/>
    <s v="Ленина"/>
    <n v="2"/>
    <n v="1"/>
    <n v="2000"/>
  </r>
  <r>
    <x v="164"/>
    <x v="378"/>
    <s v="Договор купли-продажи"/>
    <n v="42795"/>
    <n v="42795"/>
    <n v="1040000"/>
    <n v="36111.11"/>
    <n v="1"/>
    <s v="Ипотека"/>
    <s v="Квартира"/>
    <m/>
    <x v="19"/>
    <s v="Горняков"/>
    <n v="5"/>
    <n v="1"/>
    <n v="2004"/>
  </r>
  <r>
    <x v="171"/>
    <x v="258"/>
    <s v="Договор купли-продажи"/>
    <d v="2016-12-01T00:00:00"/>
    <d v="2016-12-01T00:00:00"/>
    <n v="450000"/>
    <n v="10112.36"/>
    <n v="1"/>
    <s v="Ипотека"/>
    <s v="Квартира"/>
    <s v="Туймазинский"/>
    <x v="20"/>
    <m/>
    <n v="3"/>
    <n v="1"/>
    <n v="2010"/>
  </r>
  <r>
    <x v="172"/>
    <x v="229"/>
    <s v="Договор купли-продажи"/>
    <d v="2016-12-01T00:00:00"/>
    <d v="2016-12-01T00:00:00"/>
    <n v="408026"/>
    <n v="10277.73"/>
    <n v="1"/>
    <s v="Ипотека"/>
    <s v="Квартира"/>
    <s v="Туймазинский"/>
    <x v="20"/>
    <s v="70 лет Октября"/>
    <n v="2"/>
    <n v="1"/>
    <n v="2008"/>
  </r>
  <r>
    <x v="171"/>
    <x v="20"/>
    <s v="Договор купли-продажи"/>
    <d v="2017-01-01T00:00:00"/>
    <d v="2017-01-01T00:00:00"/>
    <n v="453500"/>
    <n v="10425.290000000001"/>
    <n v="1"/>
    <s v="Ипотека"/>
    <s v="Квартира"/>
    <s v="Туймазинский"/>
    <x v="20"/>
    <s v="Чапаева"/>
    <n v="2"/>
    <n v="1"/>
    <n v="2001"/>
  </r>
  <r>
    <x v="173"/>
    <x v="52"/>
    <s v="Договор купли-продажи"/>
    <d v="2016-11-01T00:00:00"/>
    <d v="2016-11-01T00:00:00"/>
    <n v="500000"/>
    <n v="10460.25"/>
    <n v="1"/>
    <s v="Ипотека"/>
    <s v="Квартира"/>
    <s v="Туймазинский"/>
    <x v="20"/>
    <s v="Комарова"/>
    <n v="5"/>
    <n v="1"/>
    <n v="2006"/>
  </r>
  <r>
    <x v="174"/>
    <x v="379"/>
    <s v="Договор купли-продажи"/>
    <d v="2016-09-01T00:00:00"/>
    <d v="2016-10-01T00:00:00"/>
    <n v="454000"/>
    <n v="10758.29"/>
    <n v="1"/>
    <s v="Ипотека"/>
    <s v="Квартира"/>
    <s v="Туймазинский"/>
    <x v="20"/>
    <m/>
    <n v="2"/>
    <n v="1"/>
    <n v="2011"/>
  </r>
  <r>
    <x v="175"/>
    <x v="208"/>
    <s v="Договор купли-продажи"/>
    <d v="2016-12-01T00:00:00"/>
    <d v="2016-12-01T00:00:00"/>
    <n v="393000"/>
    <n v="10856.35"/>
    <n v="1"/>
    <s v="Ипотека"/>
    <s v="Квартира"/>
    <s v="Туймазинский"/>
    <x v="20"/>
    <m/>
    <n v="7"/>
    <n v="1"/>
    <n v="2002"/>
  </r>
  <r>
    <x v="175"/>
    <x v="81"/>
    <s v="Договор купли-продажи"/>
    <d v="2017-01-01T00:00:00"/>
    <d v="2017-02-01T00:00:00"/>
    <n v="408026"/>
    <n v="10968.44"/>
    <n v="1"/>
    <s v="Ипотека"/>
    <s v="Квартира"/>
    <s v="Туймазинский"/>
    <x v="20"/>
    <s v="Молодежный"/>
    <n v="4"/>
    <n v="1"/>
    <n v="2009"/>
  </r>
  <r>
    <x v="176"/>
    <x v="144"/>
    <s v="Договор купли-продажи"/>
    <d v="2017-03-01T00:00:00"/>
    <d v="2017-03-01T00:00:00"/>
    <n v="450000"/>
    <n v="11056.51"/>
    <n v="1"/>
    <s v="Ипотека"/>
    <s v="Квартира"/>
    <s v="Туймазинский"/>
    <x v="20"/>
    <s v="Южная"/>
    <n v="2"/>
    <n v="1"/>
    <n v="2014"/>
  </r>
  <r>
    <x v="177"/>
    <x v="343"/>
    <s v="Договор купли-продажи"/>
    <d v="2016-12-01T00:00:00"/>
    <d v="2016-12-01T00:00:00"/>
    <n v="500000"/>
    <n v="11135.86"/>
    <n v="1"/>
    <s v="Ипотека"/>
    <s v="Квартира"/>
    <s v="Туймазинский"/>
    <x v="20"/>
    <s v="Аксакова"/>
    <n v="2"/>
    <n v="1"/>
    <n v="2006"/>
  </r>
  <r>
    <x v="178"/>
    <x v="380"/>
    <s v="Договор купли-продажи"/>
    <d v="2016-10-01T00:00:00"/>
    <d v="2016-10-01T00:00:00"/>
    <n v="650000"/>
    <n v="11149.23"/>
    <n v="1"/>
    <s v="Ипотека"/>
    <s v="Квартира"/>
    <s v="Туймазинский"/>
    <x v="20"/>
    <s v="Луначарского"/>
    <n v="4"/>
    <n v="1"/>
    <n v="2014"/>
  </r>
  <r>
    <x v="179"/>
    <x v="123"/>
    <s v="Договор купли-продажи"/>
    <d v="2017-02-01T00:00:00"/>
    <d v="2017-02-01T00:00:00"/>
    <n v="520000"/>
    <n v="11255.41"/>
    <n v="1"/>
    <s v="Ипотека"/>
    <s v="Квартира"/>
    <s v="Туймазинский"/>
    <x v="20"/>
    <s v="Южная"/>
    <n v="2"/>
    <n v="1"/>
    <n v="2002"/>
  </r>
  <r>
    <x v="180"/>
    <x v="320"/>
    <s v="Договор купли-продажи"/>
    <d v="2016-10-01T00:00:00"/>
    <d v="2016-10-01T00:00:00"/>
    <n v="453026"/>
    <n v="11269.3"/>
    <n v="1"/>
    <s v="Ипотека"/>
    <s v="Квартира"/>
    <s v="Туймазинский"/>
    <x v="20"/>
    <s v="Аксакова"/>
    <n v="1"/>
    <n v="1"/>
    <n v="2001"/>
  </r>
  <r>
    <x v="177"/>
    <x v="14"/>
    <s v="Договор купли-продажи"/>
    <d v="2016-10-01T00:00:00"/>
    <d v="2016-10-01T00:00:00"/>
    <n v="369000"/>
    <n v="11388.89"/>
    <n v="1"/>
    <s v="Ипотека"/>
    <s v="Квартира"/>
    <s v="Туймазинский"/>
    <x v="20"/>
    <s v="Аксакова"/>
    <n v="3"/>
    <n v="1"/>
    <n v="2016"/>
  </r>
  <r>
    <x v="173"/>
    <x v="236"/>
    <s v="Договор купли-продажи"/>
    <d v="2017-01-01T00:00:00"/>
    <d v="2017-01-01T00:00:00"/>
    <n v="700000"/>
    <n v="11475.41"/>
    <n v="1"/>
    <s v="Ипотека"/>
    <s v="Квартира"/>
    <s v="Туймазинский"/>
    <x v="20"/>
    <s v="Комарова"/>
    <n v="4"/>
    <n v="1"/>
    <n v="2004"/>
  </r>
  <r>
    <x v="181"/>
    <x v="381"/>
    <s v="Договор купли-продажи"/>
    <d v="2017-01-01T00:00:00"/>
    <d v="2017-01-01T00:00:00"/>
    <n v="1000000"/>
    <n v="11627.91"/>
    <n v="1"/>
    <s v="Ипотека"/>
    <s v="Квартира"/>
    <s v="Туймазинский"/>
    <x v="20"/>
    <s v="Чапаева"/>
    <n v="1"/>
    <n v="2"/>
    <n v="2003"/>
  </r>
  <r>
    <x v="181"/>
    <x v="381"/>
    <s v="Договор купли-продажи"/>
    <d v="2017-01-01T00:00:00"/>
    <d v="2017-01-01T00:00:00"/>
    <n v="1000000"/>
    <n v="11627.91"/>
    <n v="1"/>
    <s v="Ипотека"/>
    <s v="Квартира"/>
    <s v="Туймазинский"/>
    <x v="20"/>
    <s v="Чапаева"/>
    <n v="1"/>
    <n v="2"/>
    <n v="2003"/>
  </r>
  <r>
    <x v="182"/>
    <x v="215"/>
    <s v="Договор купли-продажи"/>
    <d v="2016-12-01T00:00:00"/>
    <d v="2016-12-01T00:00:00"/>
    <n v="515000"/>
    <n v="11678"/>
    <n v="1"/>
    <s v="Ипотека"/>
    <s v="Квартира"/>
    <s v="Туймазинский"/>
    <x v="20"/>
    <s v="Мичурина"/>
    <n v="3"/>
    <n v="2"/>
    <n v="2001"/>
  </r>
  <r>
    <x v="182"/>
    <x v="215"/>
    <s v="Договор купли-продажи"/>
    <d v="2016-12-01T00:00:00"/>
    <d v="2016-12-01T00:00:00"/>
    <n v="515000"/>
    <n v="11678"/>
    <n v="1"/>
    <s v="Ипотека"/>
    <s v="Квартира"/>
    <s v="Туймазинский"/>
    <x v="20"/>
    <s v="Мичурина"/>
    <n v="3"/>
    <n v="2"/>
    <n v="2001"/>
  </r>
  <r>
    <x v="183"/>
    <x v="275"/>
    <s v="Договор купли-продажи"/>
    <d v="2016-10-01T00:00:00"/>
    <d v="2016-10-01T00:00:00"/>
    <n v="417984"/>
    <n v="11708.24"/>
    <n v="1"/>
    <s v="Ипотека"/>
    <s v="Квартира"/>
    <s v="Туймазинский"/>
    <x v="20"/>
    <s v="Советская"/>
    <n v="5"/>
    <n v="1"/>
    <n v="2003"/>
  </r>
  <r>
    <x v="179"/>
    <x v="285"/>
    <s v="Договор купли-продажи"/>
    <d v="2016-12-01T00:00:00"/>
    <d v="2016-12-01T00:00:00"/>
    <n v="399779.15"/>
    <n v="12041.54"/>
    <n v="1"/>
    <s v="Ипотека"/>
    <s v="Квартира"/>
    <s v="Туймазинский"/>
    <x v="20"/>
    <s v="Чапаева"/>
    <n v="4"/>
    <n v="1"/>
    <n v="2008"/>
  </r>
  <r>
    <x v="184"/>
    <x v="321"/>
    <s v="Договор купли-продажи"/>
    <d v="2016-11-01T00:00:00"/>
    <d v="2016-11-01T00:00:00"/>
    <n v="428026"/>
    <n v="12335.04"/>
    <n v="1"/>
    <s v="Ипотека"/>
    <s v="Квартира"/>
    <s v="Туймазинский"/>
    <x v="20"/>
    <s v="Ленина"/>
    <n v="3"/>
    <n v="1"/>
    <n v="2013"/>
  </r>
  <r>
    <x v="175"/>
    <x v="354"/>
    <s v="Договор купли-продажи"/>
    <d v="2016-12-01T00:00:00"/>
    <d v="2016-12-01T00:00:00"/>
    <n v="465000"/>
    <n v="12567.57"/>
    <n v="1"/>
    <s v="Ипотека"/>
    <s v="Квартира"/>
    <s v="Туймазинский"/>
    <x v="20"/>
    <s v="Молодежный"/>
    <n v="1"/>
    <n v="1"/>
    <n v="2006"/>
  </r>
  <r>
    <x v="185"/>
    <x v="382"/>
    <s v="Договор купли-продажи"/>
    <d v="2016-11-01T00:00:00"/>
    <d v="2016-11-01T00:00:00"/>
    <n v="800000"/>
    <n v="12598.43"/>
    <n v="1"/>
    <s v="Ипотека"/>
    <s v="Квартира"/>
    <s v="Туймазинский"/>
    <x v="20"/>
    <s v="Южная"/>
    <n v="5"/>
    <n v="1"/>
    <n v="2016"/>
  </r>
  <r>
    <x v="183"/>
    <x v="48"/>
    <s v="Договор купли-продажи"/>
    <d v="2017-01-01T00:00:00"/>
    <d v="2017-02-01T00:00:00"/>
    <n v="454000"/>
    <n v="12681.56"/>
    <n v="1"/>
    <s v="Ипотека"/>
    <s v="Квартира"/>
    <s v="Туймазинский"/>
    <x v="20"/>
    <s v="Советская"/>
    <n v="5"/>
    <n v="1"/>
    <n v="2004"/>
  </r>
  <r>
    <x v="186"/>
    <x v="383"/>
    <s v="Договор купли-продажи"/>
    <d v="2016-10-01T00:00:00"/>
    <d v="2016-10-01T00:00:00"/>
    <n v="150500"/>
    <n v="12863.25"/>
    <n v="1"/>
    <s v="Ипотека"/>
    <s v="Помещение"/>
    <s v="Туймазинский"/>
    <x v="20"/>
    <m/>
    <n v="1"/>
    <n v="1"/>
    <n v="2015"/>
  </r>
  <r>
    <x v="171"/>
    <x v="383"/>
    <s v="Договор купли-продажи"/>
    <d v="2017-03-01T00:00:00"/>
    <d v="2017-03-01T00:00:00"/>
    <n v="150500"/>
    <n v="12863.25"/>
    <n v="1"/>
    <s v="Ипотека"/>
    <s v="Помещение"/>
    <s v="Туймазинский"/>
    <x v="20"/>
    <s v="Мичурина"/>
    <n v="5"/>
    <n v="1"/>
    <n v="2017"/>
  </r>
  <r>
    <x v="187"/>
    <x v="384"/>
    <s v="Договор купли-продажи"/>
    <d v="2016-11-01T00:00:00"/>
    <d v="2016-11-01T00:00:00"/>
    <n v="800000"/>
    <n v="13008.13"/>
    <n v="1"/>
    <s v="Ипотека"/>
    <s v="Квартира"/>
    <s v="Туймазинский"/>
    <x v="20"/>
    <m/>
    <n v="2"/>
    <n v="1"/>
    <n v="2016"/>
  </r>
  <r>
    <x v="188"/>
    <x v="156"/>
    <s v="Договор купли-продажи"/>
    <d v="2016-11-01T00:00:00"/>
    <d v="2016-11-01T00:00:00"/>
    <n v="800000"/>
    <n v="13029.32"/>
    <n v="1"/>
    <s v="Ипотека"/>
    <s v="Квартира"/>
    <s v="Туймазинский"/>
    <x v="20"/>
    <s v="Комарова"/>
    <n v="4"/>
    <n v="1"/>
    <n v="2004"/>
  </r>
  <r>
    <x v="188"/>
    <x v="85"/>
    <s v="Договор купли-продажи"/>
    <d v="2017-01-01T00:00:00"/>
    <d v="2017-01-01T00:00:00"/>
    <n v="800000"/>
    <n v="13050.57"/>
    <n v="1"/>
    <s v="Ипотека"/>
    <s v="Квартира"/>
    <s v="Туймазинский"/>
    <x v="20"/>
    <s v="Комарова"/>
    <n v="4"/>
    <n v="2"/>
    <n v="2008"/>
  </r>
  <r>
    <x v="188"/>
    <x v="85"/>
    <s v="Договор купли-продажи"/>
    <d v="2017-01-01T00:00:00"/>
    <d v="2017-01-01T00:00:00"/>
    <n v="800000"/>
    <n v="13050.57"/>
    <n v="1"/>
    <s v="Ипотека"/>
    <s v="Квартира"/>
    <s v="Туймазинский"/>
    <x v="20"/>
    <s v="Комарова"/>
    <n v="4"/>
    <n v="2"/>
    <n v="2008"/>
  </r>
  <r>
    <x v="186"/>
    <x v="385"/>
    <s v="Договор купли-продажи"/>
    <d v="2016-10-01T00:00:00"/>
    <d v="2016-10-01T00:00:00"/>
    <n v="176000"/>
    <n v="13134.33"/>
    <n v="1"/>
    <s v="Ипотека"/>
    <s v="Помещение"/>
    <s v="Туймазинский"/>
    <x v="20"/>
    <m/>
    <n v="1"/>
    <n v="1"/>
    <n v="2015"/>
  </r>
  <r>
    <x v="171"/>
    <x v="9"/>
    <s v="Договор купли-продажи"/>
    <d v="2016-12-01T00:00:00"/>
    <d v="2016-12-01T00:00:00"/>
    <n v="400000"/>
    <n v="13245.03"/>
    <n v="1"/>
    <s v="Ипотека"/>
    <s v="Квартира"/>
    <s v="Туймазинский"/>
    <x v="20"/>
    <s v="Чапаева"/>
    <n v="3"/>
    <n v="1"/>
    <n v="2010"/>
  </r>
  <r>
    <x v="189"/>
    <x v="379"/>
    <s v="Договор купли-продажи"/>
    <d v="2017-02-01T00:00:00"/>
    <d v="2017-02-01T00:00:00"/>
    <n v="600000"/>
    <n v="14218.01"/>
    <n v="1"/>
    <s v="Ипотека"/>
    <s v="Квартира"/>
    <s v="Туймазинский"/>
    <x v="20"/>
    <s v="Островского"/>
    <n v="3"/>
    <n v="1"/>
    <n v="2016"/>
  </r>
  <r>
    <x v="186"/>
    <x v="386"/>
    <s v="Договор купли-продажи"/>
    <d v="2016-12-01T00:00:00"/>
    <d v="2016-12-01T00:00:00"/>
    <n v="164000"/>
    <n v="14260.87"/>
    <n v="1"/>
    <s v="Ипотека"/>
    <s v="Помещение"/>
    <s v="Туймазинский"/>
    <x v="20"/>
    <s v="Мичурина"/>
    <n v="9"/>
    <n v="1"/>
    <n v="2016"/>
  </r>
  <r>
    <x v="190"/>
    <x v="104"/>
    <s v="Договор купли-продажи"/>
    <d v="2017-02-01T00:00:00"/>
    <d v="2017-02-01T00:00:00"/>
    <n v="453000"/>
    <n v="14290.22"/>
    <n v="1"/>
    <s v="Ипотека"/>
    <s v="Квартира"/>
    <s v="Туймазинский"/>
    <x v="20"/>
    <s v="Ленина"/>
    <n v="4"/>
    <n v="1"/>
    <n v="2005"/>
  </r>
  <r>
    <x v="181"/>
    <x v="387"/>
    <s v="Договор купли-продажи"/>
    <d v="2016-12-01T00:00:00"/>
    <d v="2016-12-01T00:00:00"/>
    <n v="1800000"/>
    <n v="14598.54"/>
    <n v="1"/>
    <s v="Ипотека"/>
    <s v="Квартира"/>
    <s v="Туймазинский"/>
    <x v="20"/>
    <s v="Чапаева"/>
    <n v="4"/>
    <n v="2"/>
    <n v="2015"/>
  </r>
  <r>
    <x v="181"/>
    <x v="387"/>
    <s v="Договор купли-продажи"/>
    <d v="2016-12-01T00:00:00"/>
    <d v="2016-12-01T00:00:00"/>
    <n v="1800000"/>
    <n v="14598.54"/>
    <n v="1"/>
    <s v="Ипотека"/>
    <s v="Квартира"/>
    <s v="Туймазинский"/>
    <x v="20"/>
    <s v="Чапаева"/>
    <n v="4"/>
    <n v="2"/>
    <n v="2015"/>
  </r>
  <r>
    <x v="189"/>
    <x v="40"/>
    <s v="Договор купли-продажи"/>
    <d v="2017-02-01T00:00:00"/>
    <d v="2017-02-01T00:00:00"/>
    <n v="600000"/>
    <n v="14705.88"/>
    <n v="1"/>
    <s v="Ипотека"/>
    <s v="Квартира"/>
    <s v="Туймазинский"/>
    <x v="20"/>
    <s v="Островского"/>
    <n v="5"/>
    <n v="1"/>
    <n v="2016"/>
  </r>
  <r>
    <x v="181"/>
    <x v="249"/>
    <s v="Договор купли-продажи"/>
    <d v="2016-11-01T00:00:00"/>
    <d v="2016-11-01T00:00:00"/>
    <n v="453026"/>
    <n v="14951.35"/>
    <n v="1"/>
    <s v="Ипотека"/>
    <s v="Квартира"/>
    <s v="Туймазинский"/>
    <x v="20"/>
    <s v="Чапаева"/>
    <n v="7"/>
    <n v="1"/>
    <n v="2016"/>
  </r>
  <r>
    <x v="184"/>
    <x v="388"/>
    <s v="Договор купли-продажи"/>
    <d v="2016-11-01T00:00:00"/>
    <d v="2016-12-01T00:00:00"/>
    <n v="1250000"/>
    <n v="15243.9"/>
    <n v="1"/>
    <s v="Ипотека"/>
    <s v="Квартира"/>
    <s v="Туймазинский"/>
    <x v="20"/>
    <s v="Щербакова"/>
    <n v="2"/>
    <n v="2"/>
    <n v="2015"/>
  </r>
  <r>
    <x v="184"/>
    <x v="388"/>
    <s v="Договор купли-продажи"/>
    <d v="2016-11-01T00:00:00"/>
    <d v="2016-12-01T00:00:00"/>
    <n v="1250000"/>
    <n v="15243.9"/>
    <n v="1"/>
    <s v="Ипотека"/>
    <s v="Квартира"/>
    <s v="Туймазинский"/>
    <x v="20"/>
    <s v="Щербакова"/>
    <n v="2"/>
    <n v="2"/>
    <n v="2015"/>
  </r>
  <r>
    <x v="179"/>
    <x v="389"/>
    <s v="Договор купли-продажи"/>
    <d v="2016-10-01T00:00:00"/>
    <d v="2016-10-01T00:00:00"/>
    <n v="1050000"/>
    <n v="15261.63"/>
    <n v="1"/>
    <s v="Ипотека"/>
    <s v="Квартира"/>
    <s v="Туймазинский"/>
    <x v="20"/>
    <s v="Южная"/>
    <n v="4"/>
    <n v="1"/>
    <n v="2013"/>
  </r>
  <r>
    <x v="191"/>
    <x v="122"/>
    <s v="Договор купли-продажи"/>
    <d v="2016-11-01T00:00:00"/>
    <d v="2016-11-01T00:00:00"/>
    <n v="774613"/>
    <n v="15338.87"/>
    <n v="1"/>
    <s v="Ипотека"/>
    <s v="Квартира"/>
    <s v="Туймазинский"/>
    <x v="20"/>
    <m/>
    <n v="3"/>
    <n v="2"/>
    <n v="2016"/>
  </r>
  <r>
    <x v="191"/>
    <x v="122"/>
    <s v="Договор купли-продажи"/>
    <d v="2016-11-01T00:00:00"/>
    <d v="2016-11-01T00:00:00"/>
    <n v="774613"/>
    <n v="15338.87"/>
    <n v="1"/>
    <s v="Ипотека"/>
    <s v="Квартира"/>
    <s v="Туймазинский"/>
    <x v="20"/>
    <m/>
    <n v="3"/>
    <n v="2"/>
    <n v="2016"/>
  </r>
  <r>
    <x v="179"/>
    <x v="390"/>
    <s v="Договор купли-продажи"/>
    <d v="2017-01-01T00:00:00"/>
    <d v="2017-02-01T00:00:00"/>
    <n v="440000"/>
    <n v="15492.96"/>
    <n v="1"/>
    <s v="Ипотека"/>
    <s v="Квартира"/>
    <s v="Туймазинский"/>
    <x v="20"/>
    <s v="Южная"/>
    <n v="1"/>
    <n v="1"/>
    <n v="2001"/>
  </r>
  <r>
    <x v="192"/>
    <x v="237"/>
    <s v="Договор купли-продажи"/>
    <d v="2017-03-01T00:00:00"/>
    <d v="2017-03-01T00:00:00"/>
    <n v="453500"/>
    <n v="15530.82"/>
    <n v="1"/>
    <s v="Ипотека"/>
    <s v="Квартира"/>
    <s v="Туймазинский"/>
    <x v="20"/>
    <s v="Ленина"/>
    <n v="3"/>
    <n v="1"/>
    <n v="2004"/>
  </r>
  <r>
    <x v="184"/>
    <x v="56"/>
    <s v="Договор купли-продажи"/>
    <d v="2016-12-01T00:00:00"/>
    <d v="2016-12-01T00:00:00"/>
    <n v="453026"/>
    <n v="15675.64"/>
    <n v="1"/>
    <s v="Ипотека"/>
    <s v="Квартира"/>
    <s v="Туймазинский"/>
    <x v="20"/>
    <s v="Северная"/>
    <n v="2"/>
    <n v="1"/>
    <n v="2012"/>
  </r>
  <r>
    <x v="193"/>
    <x v="269"/>
    <s v="Договор купли-продажи"/>
    <d v="2017-03-01T00:00:00"/>
    <d v="2017-03-01T00:00:00"/>
    <n v="1100000"/>
    <n v="16616.310000000001"/>
    <n v="1"/>
    <s v="Ипотека"/>
    <s v="Квартира"/>
    <s v="Туймазинский"/>
    <x v="20"/>
    <s v="Луначарского"/>
    <n v="5"/>
    <n v="2"/>
    <n v="2008"/>
  </r>
  <r>
    <x v="193"/>
    <x v="269"/>
    <s v="Договор купли-продажи"/>
    <d v="2017-03-01T00:00:00"/>
    <d v="2017-03-01T00:00:00"/>
    <n v="1100000"/>
    <n v="16616.310000000001"/>
    <n v="1"/>
    <s v="Ипотека"/>
    <s v="Квартира"/>
    <s v="Туймазинский"/>
    <x v="20"/>
    <s v="Луначарского"/>
    <n v="5"/>
    <n v="2"/>
    <n v="2008"/>
  </r>
  <r>
    <x v="194"/>
    <x v="391"/>
    <s v="Договор купли-продажи"/>
    <d v="2016-10-01T00:00:00"/>
    <d v="2016-10-01T00:00:00"/>
    <n v="950000"/>
    <n v="16637.48"/>
    <n v="1"/>
    <s v="Ипотека"/>
    <s v="Квартира"/>
    <s v="Туймазинский"/>
    <x v="20"/>
    <s v="Комарова"/>
    <n v="4"/>
    <n v="1"/>
    <n v="2003"/>
  </r>
  <r>
    <x v="195"/>
    <x v="116"/>
    <s v="Договор купли-продажи"/>
    <d v="2016-12-01T00:00:00"/>
    <d v="2016-12-01T00:00:00"/>
    <n v="1000000"/>
    <n v="16666.669999999998"/>
    <n v="1"/>
    <s v="Ипотека"/>
    <s v="Квартира"/>
    <s v="Туймазинский"/>
    <x v="20"/>
    <s v="Гафурова"/>
    <n v="1"/>
    <n v="1"/>
    <n v="2012"/>
  </r>
  <r>
    <x v="171"/>
    <x v="337"/>
    <s v="Договор купли-продажи"/>
    <d v="2017-02-01T00:00:00"/>
    <d v="2017-02-01T00:00:00"/>
    <n v="550000"/>
    <n v="17187.5"/>
    <n v="1"/>
    <s v="Ипотека"/>
    <s v="Квартира"/>
    <s v="Туймазинский"/>
    <x v="20"/>
    <s v="Ленина"/>
    <n v="1"/>
    <n v="2"/>
    <n v="1999"/>
  </r>
  <r>
    <x v="171"/>
    <x v="337"/>
    <s v="Договор купли-продажи"/>
    <d v="2017-02-01T00:00:00"/>
    <d v="2017-02-01T00:00:00"/>
    <n v="550000"/>
    <n v="17187.5"/>
    <n v="1"/>
    <s v="Ипотека"/>
    <s v="Квартира"/>
    <s v="Туймазинский"/>
    <x v="20"/>
    <s v="Ленина"/>
    <n v="1"/>
    <n v="2"/>
    <n v="1999"/>
  </r>
  <r>
    <x v="189"/>
    <x v="1"/>
    <s v="Договор купли-продажи"/>
    <d v="2016-11-01T00:00:00"/>
    <d v="2016-11-01T00:00:00"/>
    <n v="700000"/>
    <n v="17456.36"/>
    <n v="1"/>
    <s v="Ипотека"/>
    <s v="Квартира"/>
    <s v="Туймазинский"/>
    <x v="20"/>
    <s v="Островского"/>
    <n v="6"/>
    <n v="1"/>
    <n v="2016"/>
  </r>
  <r>
    <x v="191"/>
    <x v="392"/>
    <s v="Договор купли-продажи"/>
    <d v="2017-01-01T00:00:00"/>
    <d v="2017-01-01T00:00:00"/>
    <n v="900000"/>
    <n v="17647.060000000001"/>
    <n v="1"/>
    <s v="Ипотека"/>
    <s v="Квартира"/>
    <s v="Туймазинский"/>
    <x v="20"/>
    <m/>
    <n v="4"/>
    <n v="1"/>
    <n v="2017"/>
  </r>
  <r>
    <x v="181"/>
    <x v="328"/>
    <s v="Договор купли-продажи"/>
    <d v="2017-02-01T00:00:00"/>
    <d v="2017-03-01T00:00:00"/>
    <n v="600000"/>
    <n v="17699.12"/>
    <n v="1"/>
    <s v="Ипотека"/>
    <s v="Квартира"/>
    <s v="Туймазинский"/>
    <x v="20"/>
    <s v="Чапаева"/>
    <n v="8"/>
    <n v="1"/>
    <n v="2016"/>
  </r>
  <r>
    <x v="179"/>
    <x v="294"/>
    <s v="Договор купли-продажи"/>
    <d v="2016-11-01T00:00:00"/>
    <d v="2016-11-01T00:00:00"/>
    <n v="1100000"/>
    <n v="17770.599999999999"/>
    <n v="1"/>
    <s v="Ипотека"/>
    <s v="Квартира"/>
    <s v="Туймазинский"/>
    <x v="20"/>
    <s v="Южная"/>
    <n v="4"/>
    <n v="1"/>
    <n v="2016"/>
  </r>
  <r>
    <x v="171"/>
    <x v="32"/>
    <s v="Договор купли-продажи"/>
    <d v="2016-12-01T00:00:00"/>
    <d v="2016-12-01T00:00:00"/>
    <n v="780000"/>
    <n v="17848.97"/>
    <n v="1"/>
    <s v="Ипотека"/>
    <s v="Квартира"/>
    <s v="Туймазинский"/>
    <x v="20"/>
    <m/>
    <n v="2"/>
    <n v="1"/>
    <n v="2011"/>
  </r>
  <r>
    <x v="173"/>
    <x v="69"/>
    <s v="Договор купли-продажи"/>
    <d v="2017-02-01T00:00:00"/>
    <d v="2017-02-01T00:00:00"/>
    <n v="800000"/>
    <n v="18058.689999999999"/>
    <n v="1"/>
    <s v="Ипотека"/>
    <s v="Квартира"/>
    <s v="Туймазинский"/>
    <x v="20"/>
    <s v="Комарова"/>
    <n v="1"/>
    <n v="1"/>
    <n v="2004"/>
  </r>
  <r>
    <x v="188"/>
    <x v="260"/>
    <s v="Договор купли-продажи"/>
    <d v="2017-02-01T00:00:00"/>
    <d v="2017-02-01T00:00:00"/>
    <n v="570000"/>
    <n v="18506.490000000002"/>
    <n v="1"/>
    <s v="Ипотека"/>
    <s v="Квартира"/>
    <s v="Туймазинский"/>
    <x v="20"/>
    <s v="Ленина"/>
    <n v="4"/>
    <n v="2"/>
    <n v="2008"/>
  </r>
  <r>
    <x v="188"/>
    <x v="260"/>
    <s v="Договор купли-продажи"/>
    <d v="2017-02-01T00:00:00"/>
    <d v="2017-02-01T00:00:00"/>
    <n v="570000"/>
    <n v="18506.490000000002"/>
    <n v="1"/>
    <s v="Ипотека"/>
    <s v="Квартира"/>
    <s v="Туймазинский"/>
    <x v="20"/>
    <s v="Ленина"/>
    <n v="4"/>
    <n v="2"/>
    <n v="2008"/>
  </r>
  <r>
    <x v="196"/>
    <x v="393"/>
    <s v="Договор купли-продажи"/>
    <d v="2016-10-01T00:00:00"/>
    <d v="2016-10-01T00:00:00"/>
    <n v="1955000"/>
    <n v="18690.25"/>
    <n v="1"/>
    <s v="Ипотека"/>
    <s v="Квартира"/>
    <s v="Туймазинский"/>
    <x v="20"/>
    <s v="Восточный"/>
    <n v="1"/>
    <n v="2"/>
    <n v="2013"/>
  </r>
  <r>
    <x v="196"/>
    <x v="393"/>
    <s v="Договор купли-продажи"/>
    <d v="2016-10-01T00:00:00"/>
    <d v="2016-10-01T00:00:00"/>
    <n v="1955000"/>
    <n v="18690.25"/>
    <n v="1"/>
    <s v="Ипотека"/>
    <s v="Квартира"/>
    <s v="Туймазинский"/>
    <x v="20"/>
    <s v="Восточный"/>
    <n v="1"/>
    <n v="2"/>
    <n v="2013"/>
  </r>
  <r>
    <x v="173"/>
    <x v="160"/>
    <s v="Договор купли-продажи"/>
    <d v="2017-02-01T00:00:00"/>
    <d v="2017-02-01T00:00:00"/>
    <n v="900000"/>
    <n v="18750"/>
    <n v="1"/>
    <s v="Ипотека"/>
    <s v="Квартира"/>
    <s v="Туймазинский"/>
    <x v="20"/>
    <s v="Комарова"/>
    <n v="2"/>
    <n v="1"/>
    <n v="2003"/>
  </r>
  <r>
    <x v="197"/>
    <x v="394"/>
    <s v="Договор купли-продажи"/>
    <d v="2016-12-01T00:00:00"/>
    <d v="2016-12-01T00:00:00"/>
    <n v="1500000"/>
    <n v="19011.41"/>
    <n v="1"/>
    <s v="Ипотека"/>
    <s v="Квартира"/>
    <s v="Туймазинский"/>
    <x v="20"/>
    <s v="Пугачева"/>
    <n v="9"/>
    <n v="1"/>
    <n v="2010"/>
  </r>
  <r>
    <x v="173"/>
    <x v="395"/>
    <s v="Договор купли-продажи"/>
    <d v="2017-01-01T00:00:00"/>
    <d v="2017-01-01T00:00:00"/>
    <n v="1100000"/>
    <n v="19163.759999999998"/>
    <n v="1"/>
    <s v="Ипотека"/>
    <s v="Квартира"/>
    <s v="Туймазинский"/>
    <x v="20"/>
    <s v="Ленина"/>
    <n v="3"/>
    <n v="1"/>
    <n v="1999"/>
  </r>
  <r>
    <x v="192"/>
    <x v="324"/>
    <s v="Договор купли-продажи"/>
    <d v="2017-03-01T00:00:00"/>
    <d v="2017-03-01T00:00:00"/>
    <n v="1200000"/>
    <n v="19261.64"/>
    <n v="1"/>
    <s v="Ипотека"/>
    <s v="Квартира"/>
    <s v="Туймазинский"/>
    <x v="20"/>
    <s v="Ленина"/>
    <n v="2"/>
    <n v="1"/>
    <n v="2001"/>
  </r>
  <r>
    <x v="173"/>
    <x v="151"/>
    <s v="Договор купли-продажи"/>
    <d v="2017-03-01T00:00:00"/>
    <d v="2017-03-01T00:00:00"/>
    <n v="1130000"/>
    <n v="19415.810000000001"/>
    <n v="1"/>
    <s v="Ипотека"/>
    <s v="Квартира"/>
    <s v="Туймазинский"/>
    <x v="20"/>
    <s v="Комарова"/>
    <n v="4"/>
    <n v="1"/>
    <n v="2002"/>
  </r>
  <r>
    <x v="188"/>
    <x v="116"/>
    <s v="Договор купли-продажи"/>
    <d v="2016-10-01T00:00:00"/>
    <d v="2016-11-01T00:00:00"/>
    <n v="1170000"/>
    <n v="19500"/>
    <n v="1"/>
    <s v="Ипотека"/>
    <s v="Квартира"/>
    <s v="Туймазинский"/>
    <x v="20"/>
    <s v="Чапаева"/>
    <n v="1"/>
    <n v="2"/>
    <n v="2002"/>
  </r>
  <r>
    <x v="188"/>
    <x v="116"/>
    <s v="Договор купли-продажи"/>
    <d v="2016-10-01T00:00:00"/>
    <d v="2016-11-01T00:00:00"/>
    <n v="1170000"/>
    <n v="19500"/>
    <n v="1"/>
    <s v="Ипотека"/>
    <s v="Квартира"/>
    <s v="Туймазинский"/>
    <x v="20"/>
    <s v="Чапаева"/>
    <n v="1"/>
    <n v="2"/>
    <n v="2002"/>
  </r>
  <r>
    <x v="171"/>
    <x v="24"/>
    <s v="Договор купли-продажи"/>
    <d v="2016-11-01T00:00:00"/>
    <d v="2016-11-01T00:00:00"/>
    <n v="890000"/>
    <n v="19646.8"/>
    <n v="1"/>
    <s v="Ипотека"/>
    <s v="Квартира"/>
    <s v="Туймазинский"/>
    <x v="20"/>
    <m/>
    <n v="4"/>
    <n v="1"/>
    <n v="2014"/>
  </r>
  <r>
    <x v="188"/>
    <x v="396"/>
    <s v="Договор купли-продажи"/>
    <d v="2016-10-01T00:00:00"/>
    <d v="2016-10-01T00:00:00"/>
    <n v="1400000"/>
    <n v="19718.310000000001"/>
    <n v="1"/>
    <s v="Ипотека"/>
    <s v="Квартира"/>
    <s v="Туймазинский"/>
    <x v="20"/>
    <s v="70 лет Октября"/>
    <n v="7"/>
    <n v="1"/>
    <n v="2014"/>
  </r>
  <r>
    <x v="198"/>
    <x v="206"/>
    <s v="Договор купли-продажи"/>
    <d v="2016-11-01T00:00:00"/>
    <d v="2016-12-01T00:00:00"/>
    <n v="1000000"/>
    <n v="20080.32"/>
    <n v="1"/>
    <s v="Ипотека"/>
    <s v="Квартира"/>
    <s v="Туймазинский"/>
    <x v="20"/>
    <m/>
    <n v="5"/>
    <n v="1"/>
    <n v="2004"/>
  </r>
  <r>
    <x v="198"/>
    <x v="229"/>
    <s v="Договор купли-продажи"/>
    <d v="2016-10-01T00:00:00"/>
    <d v="2016-10-01T00:00:00"/>
    <n v="800000"/>
    <n v="20151.13"/>
    <n v="1"/>
    <s v="Ипотека"/>
    <s v="Квартира"/>
    <s v="Туймазинский"/>
    <x v="20"/>
    <m/>
    <n v="9"/>
    <n v="1"/>
    <n v="2015"/>
  </r>
  <r>
    <x v="173"/>
    <x v="364"/>
    <s v="Договор купли-продажи"/>
    <d v="2016-10-01T00:00:00"/>
    <d v="2016-10-01T00:00:00"/>
    <n v="1000000"/>
    <n v="20576.13"/>
    <n v="1"/>
    <s v="Ипотека"/>
    <s v="Квартира"/>
    <s v="Туймазинский"/>
    <x v="20"/>
    <s v="Комарова"/>
    <n v="4"/>
    <n v="1"/>
    <n v="2005"/>
  </r>
  <r>
    <x v="173"/>
    <x v="222"/>
    <s v="Договор купли-продажи"/>
    <d v="2016-12-01T00:00:00"/>
    <d v="2016-12-01T00:00:00"/>
    <n v="850000"/>
    <n v="20681.27"/>
    <n v="1"/>
    <s v="Ипотека"/>
    <s v="Квартира"/>
    <s v="Туймазинский"/>
    <x v="20"/>
    <s v="70 лет Октября"/>
    <n v="4"/>
    <n v="1"/>
    <n v="2013"/>
  </r>
  <r>
    <x v="184"/>
    <x v="235"/>
    <s v="Договор купли-продажи"/>
    <d v="2017-02-01T00:00:00"/>
    <d v="2017-02-01T00:00:00"/>
    <n v="1200000"/>
    <n v="20689.66"/>
    <n v="1"/>
    <s v="Ипотека"/>
    <s v="Квартира"/>
    <s v="Туймазинский"/>
    <x v="20"/>
    <s v="Щербакова"/>
    <n v="1"/>
    <n v="1"/>
    <n v="2015"/>
  </r>
  <r>
    <x v="191"/>
    <x v="397"/>
    <s v="Договор купли-продажи"/>
    <d v="2016-11-01T00:00:00"/>
    <d v="2016-11-01T00:00:00"/>
    <n v="1393000"/>
    <n v="21267.18"/>
    <n v="1"/>
    <s v="Ипотека"/>
    <s v="Квартира"/>
    <s v="Туймазинский"/>
    <x v="20"/>
    <m/>
    <n v="2"/>
    <n v="2"/>
    <n v="2016"/>
  </r>
  <r>
    <x v="191"/>
    <x v="397"/>
    <s v="Договор купли-продажи"/>
    <d v="2016-11-01T00:00:00"/>
    <d v="2016-11-01T00:00:00"/>
    <n v="1393000"/>
    <n v="21267.18"/>
    <n v="1"/>
    <s v="Ипотека"/>
    <s v="Квартира"/>
    <s v="Туймазинский"/>
    <x v="20"/>
    <m/>
    <n v="2"/>
    <n v="2"/>
    <n v="2016"/>
  </r>
  <r>
    <x v="194"/>
    <x v="79"/>
    <s v="Договор купли-продажи"/>
    <d v="2017-01-01T00:00:00"/>
    <d v="2017-01-01T00:00:00"/>
    <n v="769000"/>
    <n v="21301.94"/>
    <n v="1"/>
    <s v="Ипотека"/>
    <s v="Квартира"/>
    <s v="Туймазинский"/>
    <x v="20"/>
    <s v="Комарова"/>
    <n v="1"/>
    <n v="1"/>
    <n v="2013"/>
  </r>
  <r>
    <x v="178"/>
    <x v="65"/>
    <s v="Договор купли-продажи"/>
    <d v="2016-11-01T00:00:00"/>
    <d v="2016-11-01T00:00:00"/>
    <n v="905000"/>
    <n v="22127.14"/>
    <n v="1"/>
    <s v="Ипотека"/>
    <s v="Квартира"/>
    <s v="Туймазинский"/>
    <x v="20"/>
    <s v="Луначарского"/>
    <n v="8"/>
    <n v="2"/>
    <n v="2013"/>
  </r>
  <r>
    <x v="178"/>
    <x v="65"/>
    <s v="Договор купли-продажи"/>
    <d v="2016-11-01T00:00:00"/>
    <d v="2016-11-01T00:00:00"/>
    <n v="905000"/>
    <n v="22127.14"/>
    <n v="1"/>
    <s v="Ипотека"/>
    <s v="Квартира"/>
    <s v="Туймазинский"/>
    <x v="20"/>
    <s v="Луначарского"/>
    <n v="8"/>
    <n v="2"/>
    <n v="2013"/>
  </r>
  <r>
    <x v="171"/>
    <x v="195"/>
    <s v="Договор купли-продажи"/>
    <d v="2017-02-01T00:00:00"/>
    <d v="2017-02-01T00:00:00"/>
    <n v="1160000"/>
    <n v="22437.14"/>
    <n v="1"/>
    <s v="Ипотека"/>
    <s v="Квартира"/>
    <s v="Туймазинский"/>
    <x v="20"/>
    <m/>
    <n v="3"/>
    <n v="1"/>
    <n v="2001"/>
  </r>
  <r>
    <x v="178"/>
    <x v="169"/>
    <s v="Договор купли-продажи"/>
    <d v="2017-03-01T00:00:00"/>
    <d v="2017-03-01T00:00:00"/>
    <n v="1250000"/>
    <n v="22441.65"/>
    <n v="1"/>
    <s v="Ипотека"/>
    <s v="Квартира"/>
    <s v="Туймазинский"/>
    <x v="20"/>
    <s v="Луначарского"/>
    <n v="5"/>
    <n v="1"/>
    <n v="2013"/>
  </r>
  <r>
    <x v="179"/>
    <x v="171"/>
    <s v="Договор купли-продажи"/>
    <d v="2017-02-01T00:00:00"/>
    <d v="2017-02-01T00:00:00"/>
    <n v="750000"/>
    <n v="22522.52"/>
    <n v="1"/>
    <s v="Ипотека"/>
    <s v="Квартира"/>
    <s v="Туймазинский"/>
    <x v="20"/>
    <s v="Чапаева"/>
    <n v="5"/>
    <n v="1"/>
    <n v="2004"/>
  </r>
  <r>
    <x v="198"/>
    <x v="85"/>
    <s v="Договор купли-продажи"/>
    <d v="2016-11-01T00:00:00"/>
    <d v="2016-11-01T00:00:00"/>
    <n v="1400000"/>
    <n v="22838.5"/>
    <n v="1"/>
    <s v="Ипотека"/>
    <s v="Квартира"/>
    <s v="Туймазинский"/>
    <x v="20"/>
    <m/>
    <n v="4"/>
    <n v="1"/>
    <n v="2007"/>
  </r>
  <r>
    <x v="173"/>
    <x v="132"/>
    <s v="Договор купли-продажи"/>
    <d v="2017-01-01T00:00:00"/>
    <d v="2017-01-01T00:00:00"/>
    <n v="700000"/>
    <n v="23026.32"/>
    <n v="1"/>
    <s v="Ипотека"/>
    <s v="Квартира"/>
    <s v="Туймазинский"/>
    <x v="20"/>
    <s v="Комарова"/>
    <n v="2"/>
    <n v="1"/>
    <n v="2006"/>
  </r>
  <r>
    <x v="199"/>
    <x v="168"/>
    <s v="Договор купли-продажи"/>
    <d v="2017-03-01T00:00:00"/>
    <d v="2017-03-01T00:00:00"/>
    <n v="1100000"/>
    <n v="23758.1"/>
    <n v="1"/>
    <s v="Ипотека"/>
    <s v="Квартира"/>
    <s v="Туймазинский"/>
    <x v="20"/>
    <s v="Пролетарская"/>
    <n v="3"/>
    <n v="1"/>
    <n v="2002"/>
  </r>
  <r>
    <x v="171"/>
    <x v="11"/>
    <s v="Договор купли-продажи"/>
    <d v="2017-02-01T00:00:00"/>
    <d v="2017-02-01T00:00:00"/>
    <n v="1500000"/>
    <n v="24271.84"/>
    <n v="1"/>
    <s v="Ипотека"/>
    <s v="Квартира"/>
    <s v="Туймазинский"/>
    <x v="20"/>
    <s v="Комарова"/>
    <n v="2"/>
    <n v="2"/>
    <n v="2014"/>
  </r>
  <r>
    <x v="171"/>
    <x v="11"/>
    <s v="Договор купли-продажи"/>
    <d v="2017-02-01T00:00:00"/>
    <d v="2017-02-01T00:00:00"/>
    <n v="1500000"/>
    <n v="24271.84"/>
    <n v="1"/>
    <s v="Ипотека"/>
    <s v="Квартира"/>
    <s v="Туймазинский"/>
    <x v="20"/>
    <s v="Комарова"/>
    <n v="2"/>
    <n v="2"/>
    <n v="2014"/>
  </r>
  <r>
    <x v="171"/>
    <x v="65"/>
    <s v="Договор купли-продажи"/>
    <d v="2016-11-01T00:00:00"/>
    <d v="2016-11-01T00:00:00"/>
    <n v="1000000"/>
    <n v="24449.88"/>
    <n v="1"/>
    <s v="Ипотека"/>
    <s v="Квартира"/>
    <s v="Туймазинский"/>
    <x v="20"/>
    <m/>
    <n v="1"/>
    <n v="1"/>
    <n v="2007"/>
  </r>
  <r>
    <x v="181"/>
    <x v="132"/>
    <s v="Договор купли-продажи"/>
    <d v="2016-10-01T00:00:00"/>
    <d v="2016-10-01T00:00:00"/>
    <n v="753000"/>
    <n v="24769.74"/>
    <n v="1"/>
    <s v="Ипотека"/>
    <s v="Квартира"/>
    <s v="Туймазинский"/>
    <x v="20"/>
    <s v="Чапаева"/>
    <n v="6"/>
    <n v="2"/>
    <n v="2016"/>
  </r>
  <r>
    <x v="181"/>
    <x v="132"/>
    <s v="Договор купли-продажи"/>
    <d v="2016-10-01T00:00:00"/>
    <d v="2016-10-01T00:00:00"/>
    <n v="753000"/>
    <n v="24769.74"/>
    <n v="1"/>
    <s v="Ипотека"/>
    <s v="Квартира"/>
    <s v="Туймазинский"/>
    <x v="20"/>
    <s v="Чапаева"/>
    <n v="6"/>
    <n v="2"/>
    <n v="2016"/>
  </r>
  <r>
    <x v="177"/>
    <x v="223"/>
    <s v="Договор купли-продажи"/>
    <d v="2016-11-01T00:00:00"/>
    <d v="2016-11-01T00:00:00"/>
    <n v="1400000"/>
    <n v="24778.76"/>
    <n v="1"/>
    <s v="Ипотека"/>
    <s v="Квартира"/>
    <s v="Туймазинский"/>
    <x v="20"/>
    <s v="О.Кошевого"/>
    <n v="3"/>
    <n v="1"/>
    <n v="2014"/>
  </r>
  <r>
    <x v="198"/>
    <x v="398"/>
    <s v="Договор купли-продажи"/>
    <d v="2016-10-01T00:00:00"/>
    <d v="2016-10-01T00:00:00"/>
    <n v="1350000"/>
    <n v="25139.66"/>
    <n v="1"/>
    <s v="Ипотека"/>
    <s v="Квартира"/>
    <s v="Туймазинский"/>
    <x v="20"/>
    <m/>
    <n v="2"/>
    <n v="1"/>
    <n v="2015"/>
  </r>
  <r>
    <x v="179"/>
    <x v="37"/>
    <s v="Договор купли-продажи"/>
    <d v="2016-12-01T00:00:00"/>
    <d v="2016-12-01T00:00:00"/>
    <n v="1200000"/>
    <n v="25157.23"/>
    <n v="1"/>
    <s v="Ипотека"/>
    <s v="Квартира"/>
    <s v="Туймазинский"/>
    <x v="20"/>
    <s v="Южная"/>
    <n v="5"/>
    <n v="2"/>
    <n v="2005"/>
  </r>
  <r>
    <x v="179"/>
    <x v="37"/>
    <s v="Договор купли-продажи"/>
    <d v="2016-12-01T00:00:00"/>
    <d v="2016-12-01T00:00:00"/>
    <n v="1200000"/>
    <n v="25157.23"/>
    <n v="1"/>
    <s v="Ипотека"/>
    <s v="Квартира"/>
    <s v="Туймазинский"/>
    <x v="20"/>
    <s v="Южная"/>
    <n v="5"/>
    <n v="2"/>
    <n v="2005"/>
  </r>
  <r>
    <x v="188"/>
    <x v="40"/>
    <s v="Договор купли-продажи"/>
    <d v="2017-02-01T00:00:00"/>
    <d v="2017-02-01T00:00:00"/>
    <n v="1028000"/>
    <n v="25196.080000000002"/>
    <n v="1"/>
    <s v="Ипотека"/>
    <s v="Квартира"/>
    <s v="Туймазинский"/>
    <x v="20"/>
    <s v="Чапаева"/>
    <n v="2"/>
    <n v="2"/>
    <n v="2015"/>
  </r>
  <r>
    <x v="188"/>
    <x v="40"/>
    <s v="Договор купли-продажи"/>
    <d v="2017-02-01T00:00:00"/>
    <d v="2017-02-01T00:00:00"/>
    <n v="1028000"/>
    <n v="25196.080000000002"/>
    <n v="1"/>
    <s v="Ипотека"/>
    <s v="Квартира"/>
    <s v="Туймазинский"/>
    <x v="20"/>
    <s v="Чапаева"/>
    <n v="2"/>
    <n v="2"/>
    <n v="2015"/>
  </r>
  <r>
    <x v="188"/>
    <x v="399"/>
    <s v="Договор купли-продажи"/>
    <d v="2016-10-01T00:00:00"/>
    <d v="2016-10-01T00:00:00"/>
    <n v="1550000"/>
    <n v="25326.799999999999"/>
    <n v="1"/>
    <s v="Ипотека"/>
    <s v="Квартира"/>
    <s v="Туймазинский"/>
    <x v="20"/>
    <s v="Чапаева"/>
    <n v="2"/>
    <n v="1"/>
    <n v="2006"/>
  </r>
  <r>
    <x v="194"/>
    <x v="90"/>
    <s v="Договор купли-продажи"/>
    <d v="2017-02-01T00:00:00"/>
    <d v="2017-02-01T00:00:00"/>
    <n v="840000"/>
    <n v="25766.87"/>
    <n v="1"/>
    <s v="Ипотека"/>
    <s v="Квартира"/>
    <s v="Туймазинский"/>
    <x v="20"/>
    <s v="Комарова"/>
    <n v="1"/>
    <n v="1"/>
    <n v="2005"/>
  </r>
  <r>
    <x v="179"/>
    <x v="400"/>
    <s v="Договор купли-продажи"/>
    <d v="2017-01-01T00:00:00"/>
    <d v="2017-01-01T00:00:00"/>
    <n v="2090000"/>
    <n v="25770.65"/>
    <n v="1"/>
    <s v="Ипотека"/>
    <s v="Квартира"/>
    <s v="Туймазинский"/>
    <x v="20"/>
    <s v="Чапаева"/>
    <n v="1"/>
    <n v="2"/>
    <n v="2003"/>
  </r>
  <r>
    <x v="179"/>
    <x v="400"/>
    <s v="Договор купли-продажи"/>
    <d v="2017-01-01T00:00:00"/>
    <d v="2017-01-01T00:00:00"/>
    <n v="2090000"/>
    <n v="25770.65"/>
    <n v="1"/>
    <s v="Ипотека"/>
    <s v="Квартира"/>
    <s v="Туймазинский"/>
    <x v="20"/>
    <s v="Чапаева"/>
    <n v="1"/>
    <n v="2"/>
    <n v="2003"/>
  </r>
  <r>
    <x v="184"/>
    <x v="36"/>
    <s v="Договор купли-продажи"/>
    <d v="2016-11-01T00:00:00"/>
    <d v="2016-11-01T00:00:00"/>
    <n v="864000"/>
    <n v="25868.26"/>
    <n v="1"/>
    <s v="Ипотека"/>
    <s v="Квартира"/>
    <s v="Туймазинский"/>
    <x v="20"/>
    <s v="Щербакова"/>
    <n v="2"/>
    <n v="1"/>
    <n v="2014"/>
  </r>
  <r>
    <x v="171"/>
    <x v="159"/>
    <s v="Договор купли-продажи"/>
    <d v="2016-10-01T00:00:00"/>
    <d v="2016-10-01T00:00:00"/>
    <n v="1300000"/>
    <n v="26000"/>
    <n v="1"/>
    <s v="Ипотека"/>
    <s v="Квартира"/>
    <s v="Туймазинский"/>
    <x v="20"/>
    <m/>
    <n v="5"/>
    <n v="2"/>
    <n v="2009"/>
  </r>
  <r>
    <x v="171"/>
    <x v="159"/>
    <s v="Договор купли-продажи"/>
    <d v="2016-10-01T00:00:00"/>
    <d v="2016-10-01T00:00:00"/>
    <n v="1300000"/>
    <n v="26000"/>
    <n v="1"/>
    <s v="Ипотека"/>
    <s v="Квартира"/>
    <s v="Туймазинский"/>
    <x v="20"/>
    <m/>
    <n v="5"/>
    <n v="2"/>
    <n v="2009"/>
  </r>
  <r>
    <x v="200"/>
    <x v="399"/>
    <s v="Договор купли-продажи"/>
    <d v="2016-10-01T00:00:00"/>
    <d v="2016-10-01T00:00:00"/>
    <n v="1600000"/>
    <n v="26143.79"/>
    <n v="1"/>
    <s v="Ипотека"/>
    <s v="Квартира"/>
    <s v="Туймазинский"/>
    <x v="20"/>
    <s v="Больничная"/>
    <n v="3"/>
    <n v="1"/>
    <n v="2016"/>
  </r>
  <r>
    <x v="201"/>
    <x v="401"/>
    <s v="Договор купли-продажи"/>
    <d v="2017-03-01T00:00:00"/>
    <d v="2017-03-01T00:00:00"/>
    <n v="1000000"/>
    <n v="26246.720000000001"/>
    <n v="1"/>
    <s v="Ипотека"/>
    <s v="Квартира"/>
    <s v="Туймазинский"/>
    <x v="20"/>
    <s v="Островского"/>
    <n v="3"/>
    <n v="1"/>
    <n v="2015"/>
  </r>
  <r>
    <x v="175"/>
    <x v="193"/>
    <s v="Договор купли-продажи"/>
    <d v="2016-10-01T00:00:00"/>
    <d v="2016-11-01T00:00:00"/>
    <n v="1250000"/>
    <n v="26260.5"/>
    <n v="1"/>
    <s v="Ипотека"/>
    <s v="Квартира"/>
    <s v="Туймазинский"/>
    <x v="20"/>
    <s v="Островского"/>
    <n v="4"/>
    <n v="1"/>
    <n v="2015"/>
  </r>
  <r>
    <x v="175"/>
    <x v="37"/>
    <s v="Договор купли-продажи"/>
    <d v="2016-10-01T00:00:00"/>
    <d v="2016-10-01T00:00:00"/>
    <n v="1266000"/>
    <n v="26540.880000000001"/>
    <n v="1"/>
    <s v="Ипотека"/>
    <s v="Квартира"/>
    <s v="Туймазинский"/>
    <x v="20"/>
    <s v="Островского"/>
    <n v="1"/>
    <n v="1"/>
    <n v="2015"/>
  </r>
  <r>
    <x v="202"/>
    <x v="198"/>
    <s v="Договор купли-продажи"/>
    <d v="2017-02-01T00:00:00"/>
    <d v="2017-02-01T00:00:00"/>
    <n v="800000"/>
    <n v="26578.07"/>
    <n v="1"/>
    <s v="Ипотека"/>
    <s v="Квартира"/>
    <s v="Туймазинский"/>
    <x v="20"/>
    <s v="Гафурова"/>
    <n v="2"/>
    <n v="1"/>
    <n v="2011"/>
  </r>
  <r>
    <x v="175"/>
    <x v="328"/>
    <s v="Договор купли-продажи"/>
    <d v="2016-11-01T00:00:00"/>
    <d v="2016-11-01T00:00:00"/>
    <n v="910000"/>
    <n v="26843.66"/>
    <n v="1"/>
    <s v="Ипотека"/>
    <s v="Квартира"/>
    <s v="Туймазинский"/>
    <x v="20"/>
    <s v="С.Юлаева"/>
    <n v="1"/>
    <n v="2"/>
    <n v="2007"/>
  </r>
  <r>
    <x v="175"/>
    <x v="328"/>
    <s v="Договор купли-продажи"/>
    <d v="2016-11-01T00:00:00"/>
    <d v="2016-11-01T00:00:00"/>
    <n v="910000"/>
    <n v="26843.66"/>
    <n v="1"/>
    <s v="Ипотека"/>
    <s v="Квартира"/>
    <s v="Туймазинский"/>
    <x v="20"/>
    <s v="С.Юлаева"/>
    <n v="1"/>
    <n v="2"/>
    <n v="2007"/>
  </r>
  <r>
    <x v="203"/>
    <x v="275"/>
    <s v="Договор купли-продажи"/>
    <d v="2016-10-01T00:00:00"/>
    <d v="2016-10-01T00:00:00"/>
    <n v="960000"/>
    <n v="26890.76"/>
    <n v="1"/>
    <s v="Ипотека"/>
    <s v="Квартира"/>
    <s v="Туймазинский"/>
    <x v="20"/>
    <s v="Советская"/>
    <n v="3"/>
    <n v="1"/>
    <n v="2003"/>
  </r>
  <r>
    <x v="204"/>
    <x v="41"/>
    <s v="Договор купли-продажи"/>
    <d v="2016-10-01T00:00:00"/>
    <d v="2016-10-01T00:00:00"/>
    <n v="1150000"/>
    <n v="26932.080000000002"/>
    <n v="1"/>
    <s v="Ипотека"/>
    <s v="Квартира"/>
    <s v="Туймазинский"/>
    <x v="20"/>
    <s v="Ленина"/>
    <n v="4"/>
    <n v="1"/>
    <n v="2002"/>
  </r>
  <r>
    <x v="184"/>
    <x v="305"/>
    <s v="Договор купли-продажи"/>
    <d v="2016-10-01T00:00:00"/>
    <d v="2016-10-01T00:00:00"/>
    <n v="1116000"/>
    <n v="26956.52"/>
    <n v="1"/>
    <s v="Ипотека"/>
    <s v="Квартира"/>
    <s v="Туймазинский"/>
    <x v="20"/>
    <s v="Щербакова"/>
    <n v="2"/>
    <n v="1"/>
    <n v="2015"/>
  </r>
  <r>
    <x v="202"/>
    <x v="258"/>
    <s v="Договор купли-продажи"/>
    <d v="2016-12-01T00:00:00"/>
    <d v="2016-12-01T00:00:00"/>
    <n v="1200000"/>
    <n v="26966.29"/>
    <n v="1"/>
    <s v="Ипотека"/>
    <s v="Квартира"/>
    <s v="Туймазинский"/>
    <x v="20"/>
    <s v="Гафурова"/>
    <n v="5"/>
    <n v="1"/>
    <n v="2013"/>
  </r>
  <r>
    <x v="201"/>
    <x v="401"/>
    <s v="Договор купли-продажи"/>
    <d v="2016-12-01T00:00:00"/>
    <d v="2016-12-01T00:00:00"/>
    <n v="1050000"/>
    <n v="27559.06"/>
    <n v="1"/>
    <s v="Ипотека"/>
    <s v="Квартира"/>
    <s v="Туймазинский"/>
    <x v="20"/>
    <s v="Островского"/>
    <n v="3"/>
    <n v="1"/>
    <n v="2015"/>
  </r>
  <r>
    <x v="198"/>
    <x v="402"/>
    <s v="Договор купли-продажи"/>
    <d v="2016-10-01T00:00:00"/>
    <d v="2016-10-01T00:00:00"/>
    <n v="715000"/>
    <n v="27713.18"/>
    <n v="1"/>
    <s v="Ипотека"/>
    <s v="Квартира"/>
    <s v="Туймазинский"/>
    <x v="20"/>
    <s v="Чапаева"/>
    <n v="3"/>
    <n v="1"/>
    <n v="2001"/>
  </r>
  <r>
    <x v="173"/>
    <x v="201"/>
    <s v="Договор купли-продажи"/>
    <d v="2017-01-01T00:00:00"/>
    <d v="2017-01-01T00:00:00"/>
    <n v="1000000"/>
    <n v="27855.15"/>
    <n v="1"/>
    <s v="Ипотека"/>
    <s v="Квартира"/>
    <s v="Туймазинский"/>
    <x v="20"/>
    <s v="Комарова"/>
    <n v="5"/>
    <n v="1"/>
    <n v="2007"/>
  </r>
  <r>
    <x v="176"/>
    <x v="86"/>
    <s v="Договор купли-продажи"/>
    <d v="2017-02-01T00:00:00"/>
    <d v="2017-02-01T00:00:00"/>
    <n v="1200000"/>
    <n v="27972.03"/>
    <n v="1"/>
    <s v="Ипотека"/>
    <s v="Квартира"/>
    <s v="Туймазинский"/>
    <x v="20"/>
    <s v="Луначарского"/>
    <n v="4"/>
    <n v="2"/>
    <n v="2013"/>
  </r>
  <r>
    <x v="176"/>
    <x v="86"/>
    <s v="Договор купли-продажи"/>
    <d v="2017-02-01T00:00:00"/>
    <d v="2017-02-01T00:00:00"/>
    <n v="1200000"/>
    <n v="27972.03"/>
    <n v="1"/>
    <s v="Ипотека"/>
    <s v="Квартира"/>
    <s v="Туймазинский"/>
    <x v="20"/>
    <s v="Луначарского"/>
    <n v="4"/>
    <n v="2"/>
    <n v="2013"/>
  </r>
  <r>
    <x v="179"/>
    <x v="275"/>
    <s v="Договор купли-продажи"/>
    <d v="2017-02-01T00:00:00"/>
    <d v="2017-02-01T00:00:00"/>
    <n v="1000000"/>
    <n v="28011.200000000001"/>
    <n v="1"/>
    <s v="Ипотека"/>
    <s v="Квартира"/>
    <s v="Туймазинский"/>
    <x v="20"/>
    <s v="Южная"/>
    <n v="2"/>
    <n v="1"/>
    <n v="2006"/>
  </r>
  <r>
    <x v="179"/>
    <x v="375"/>
    <s v="Договор купли-продажи"/>
    <d v="2016-10-01T00:00:00"/>
    <d v="2016-10-01T00:00:00"/>
    <n v="1350000"/>
    <n v="28066.53"/>
    <n v="1"/>
    <s v="Ипотека"/>
    <s v="Квартира"/>
    <s v="Туймазинский"/>
    <x v="20"/>
    <s v="Южная"/>
    <n v="7"/>
    <n v="1"/>
    <n v="2002"/>
  </r>
  <r>
    <x v="198"/>
    <x v="106"/>
    <s v="Договор купли-продажи"/>
    <d v="2016-12-01T00:00:00"/>
    <d v="2016-12-01T00:00:00"/>
    <n v="1000000"/>
    <n v="28169.01"/>
    <n v="1"/>
    <s v="Ипотека"/>
    <s v="Квартира"/>
    <s v="Туймазинский"/>
    <x v="20"/>
    <s v="Чапаева"/>
    <n v="6"/>
    <n v="1"/>
    <n v="2007"/>
  </r>
  <r>
    <x v="205"/>
    <x v="45"/>
    <s v="Договор купли-продажи"/>
    <d v="2017-02-01T00:00:00"/>
    <d v="2017-02-01T00:00:00"/>
    <n v="1200000"/>
    <n v="28235.29"/>
    <n v="1"/>
    <s v="Ипотека"/>
    <s v="Квартира"/>
    <s v="Туймазинский"/>
    <x v="20"/>
    <s v="Островского"/>
    <n v="3"/>
    <n v="2"/>
    <n v="2011"/>
  </r>
  <r>
    <x v="205"/>
    <x v="45"/>
    <s v="Договор купли-продажи"/>
    <d v="2017-02-01T00:00:00"/>
    <d v="2017-02-01T00:00:00"/>
    <n v="1200000"/>
    <n v="28235.29"/>
    <n v="1"/>
    <s v="Ипотека"/>
    <s v="Квартира"/>
    <s v="Туймазинский"/>
    <x v="20"/>
    <s v="Островского"/>
    <n v="3"/>
    <n v="2"/>
    <n v="2011"/>
  </r>
  <r>
    <x v="173"/>
    <x v="403"/>
    <s v="Договор купли-продажи"/>
    <d v="2017-02-01T00:00:00"/>
    <d v="2017-03-01T00:00:00"/>
    <n v="1000000"/>
    <n v="28248.59"/>
    <n v="1"/>
    <s v="Ипотека"/>
    <s v="Квартира"/>
    <s v="Туймазинский"/>
    <x v="20"/>
    <s v="Островского"/>
    <n v="4"/>
    <n v="1"/>
    <n v="2006"/>
  </r>
  <r>
    <x v="204"/>
    <x v="178"/>
    <s v="Договор купли-продажи"/>
    <d v="2016-12-01T00:00:00"/>
    <d v="2016-12-01T00:00:00"/>
    <n v="850000"/>
    <n v="28428.09"/>
    <n v="1"/>
    <s v="Ипотека"/>
    <s v="Квартира"/>
    <s v="Туймазинский"/>
    <x v="20"/>
    <s v="Ленина"/>
    <n v="3"/>
    <n v="1"/>
    <n v="2000"/>
  </r>
  <r>
    <x v="182"/>
    <x v="165"/>
    <s v="Договор купли-продажи"/>
    <d v="2016-11-01T00:00:00"/>
    <d v="2016-12-01T00:00:00"/>
    <n v="1530000"/>
    <n v="28922.5"/>
    <n v="1"/>
    <s v="Ипотека"/>
    <s v="Квартира"/>
    <s v="Туймазинский"/>
    <x v="20"/>
    <s v="Мичурина"/>
    <n v="3"/>
    <n v="1"/>
    <n v="2005"/>
  </r>
  <r>
    <x v="173"/>
    <x v="126"/>
    <s v="Договор купли-продажи"/>
    <d v="2016-10-01T00:00:00"/>
    <d v="2016-10-01T00:00:00"/>
    <n v="1750000"/>
    <n v="29215.360000000001"/>
    <n v="1"/>
    <s v="Ипотека"/>
    <s v="Квартира"/>
    <s v="Туймазинский"/>
    <x v="20"/>
    <s v="Комарова"/>
    <n v="1"/>
    <n v="1"/>
    <n v="2013"/>
  </r>
  <r>
    <x v="188"/>
    <x v="307"/>
    <s v="Договор купли-продажи"/>
    <d v="2016-11-01T00:00:00"/>
    <d v="2016-11-01T00:00:00"/>
    <n v="900000"/>
    <n v="29315.96"/>
    <n v="1"/>
    <s v="Ипотека"/>
    <s v="Квартира"/>
    <s v="Туймазинский"/>
    <x v="20"/>
    <s v="Чапаева"/>
    <n v="1"/>
    <n v="2"/>
    <n v="2002"/>
  </r>
  <r>
    <x v="188"/>
    <x v="307"/>
    <s v="Договор купли-продажи"/>
    <d v="2016-11-01T00:00:00"/>
    <d v="2016-11-01T00:00:00"/>
    <n v="900000"/>
    <n v="29315.96"/>
    <n v="1"/>
    <s v="Ипотека"/>
    <s v="Квартира"/>
    <s v="Туймазинский"/>
    <x v="20"/>
    <s v="Чапаева"/>
    <n v="1"/>
    <n v="2"/>
    <n v="2002"/>
  </r>
  <r>
    <x v="194"/>
    <x v="404"/>
    <s v="Договор купли-продажи"/>
    <d v="2017-01-01T00:00:00"/>
    <d v="2017-01-01T00:00:00"/>
    <n v="1800000"/>
    <n v="29459.9"/>
    <n v="1"/>
    <s v="Ипотека"/>
    <s v="Квартира"/>
    <s v="Туймазинский"/>
    <x v="20"/>
    <s v="Комарова"/>
    <n v="4"/>
    <n v="1"/>
    <n v="2003"/>
  </r>
  <r>
    <x v="194"/>
    <x v="316"/>
    <s v="Договор купли-продажи"/>
    <d v="2017-02-01T00:00:00"/>
    <d v="2017-02-01T00:00:00"/>
    <n v="1700000"/>
    <n v="29513.89"/>
    <n v="1"/>
    <s v="Ипотека"/>
    <s v="Квартира"/>
    <s v="Туймазинский"/>
    <x v="20"/>
    <s v="Комарова"/>
    <n v="6"/>
    <n v="1"/>
    <n v="2011"/>
  </r>
  <r>
    <x v="188"/>
    <x v="130"/>
    <s v="Договор купли-продажи"/>
    <d v="2016-12-01T00:00:00"/>
    <d v="2016-12-01T00:00:00"/>
    <n v="1200000"/>
    <n v="29556.65"/>
    <n v="1"/>
    <s v="Ипотека"/>
    <s v="Квартира"/>
    <s v="Туймазинский"/>
    <x v="20"/>
    <s v="Чапаева"/>
    <n v="2"/>
    <n v="1"/>
    <n v="2001"/>
  </r>
  <r>
    <x v="189"/>
    <x v="354"/>
    <s v="Договор купли-продажи"/>
    <d v="2017-01-01T00:00:00"/>
    <d v="2017-01-01T00:00:00"/>
    <n v="1100000"/>
    <n v="29729.73"/>
    <n v="1"/>
    <s v="Ипотека"/>
    <s v="Квартира"/>
    <s v="Туймазинский"/>
    <x v="20"/>
    <s v="Островского"/>
    <n v="9"/>
    <n v="1"/>
    <n v="2016"/>
  </r>
  <r>
    <x v="173"/>
    <x v="135"/>
    <s v="Договор купли-продажи"/>
    <d v="2016-12-01T00:00:00"/>
    <d v="2016-12-01T00:00:00"/>
    <n v="1250000"/>
    <n v="29761.9"/>
    <n v="1"/>
    <s v="Ипотека"/>
    <s v="Квартира"/>
    <s v="Туймазинский"/>
    <x v="20"/>
    <s v="70 лет Октября"/>
    <n v="9"/>
    <n v="1"/>
    <n v="2012"/>
  </r>
  <r>
    <x v="173"/>
    <x v="306"/>
    <s v="Договор купли-продажи"/>
    <d v="2017-03-01T00:00:00"/>
    <d v="2017-03-01T00:00:00"/>
    <n v="1050000"/>
    <n v="29914.53"/>
    <n v="1"/>
    <s v="Ипотека"/>
    <s v="Квартира"/>
    <s v="Туймазинский"/>
    <x v="20"/>
    <s v="Островского"/>
    <n v="1"/>
    <n v="1"/>
    <n v="2006"/>
  </r>
  <r>
    <x v="184"/>
    <x v="159"/>
    <s v="Договор купли-продажи"/>
    <d v="2016-11-01T00:00:00"/>
    <d v="2016-11-01T00:00:00"/>
    <n v="1500000"/>
    <n v="30000"/>
    <n v="1"/>
    <s v="Ипотека"/>
    <s v="Квартира"/>
    <s v="Туймазинский"/>
    <x v="20"/>
    <s v="Поселковая"/>
    <n v="2"/>
    <n v="1"/>
    <n v="2011"/>
  </r>
  <r>
    <x v="184"/>
    <x v="160"/>
    <s v="Договор купли-продажи"/>
    <d v="2016-12-01T00:00:00"/>
    <d v="2016-12-01T00:00:00"/>
    <n v="1460000"/>
    <n v="30416.67"/>
    <n v="1"/>
    <s v="Ипотека"/>
    <s v="Квартира"/>
    <s v="Туймазинский"/>
    <x v="20"/>
    <s v="Щербакова"/>
    <n v="3"/>
    <n v="1"/>
    <n v="2004"/>
  </r>
  <r>
    <x v="175"/>
    <x v="46"/>
    <s v="Договор купли-продажи"/>
    <d v="2016-10-01T00:00:00"/>
    <d v="2016-12-01T00:00:00"/>
    <n v="1000000"/>
    <n v="30487.8"/>
    <n v="1"/>
    <s v="Ипотека"/>
    <s v="Квартира"/>
    <s v="Туймазинский"/>
    <x v="20"/>
    <s v="С.Юлаева"/>
    <n v="1"/>
    <n v="1"/>
    <n v="2012"/>
  </r>
  <r>
    <x v="184"/>
    <x v="44"/>
    <s v="Договор купли-продажи"/>
    <d v="2017-01-01T00:00:00"/>
    <d v="2017-01-01T00:00:00"/>
    <n v="1400000"/>
    <n v="30634.57"/>
    <n v="1"/>
    <s v="Ипотека"/>
    <s v="Квартира"/>
    <s v="Туймазинский"/>
    <x v="20"/>
    <s v="Щербакова"/>
    <n v="1"/>
    <n v="1"/>
    <n v="2013"/>
  </r>
  <r>
    <x v="181"/>
    <x v="370"/>
    <s v="Договор купли-продажи"/>
    <d v="2016-11-01T00:00:00"/>
    <d v="2016-11-01T00:00:00"/>
    <n v="1630000"/>
    <n v="30639.1"/>
    <n v="1"/>
    <s v="Ипотека"/>
    <s v="Квартира"/>
    <s v="Туймазинский"/>
    <x v="20"/>
    <s v="Чапаева"/>
    <n v="4"/>
    <n v="2"/>
    <n v="2006"/>
  </r>
  <r>
    <x v="181"/>
    <x v="370"/>
    <s v="Договор купли-продажи"/>
    <d v="2016-11-01T00:00:00"/>
    <d v="2016-11-01T00:00:00"/>
    <n v="1630000"/>
    <n v="30639.1"/>
    <n v="1"/>
    <s v="Ипотека"/>
    <s v="Квартира"/>
    <s v="Туймазинский"/>
    <x v="20"/>
    <s v="Чапаева"/>
    <n v="4"/>
    <n v="2"/>
    <n v="2006"/>
  </r>
  <r>
    <x v="181"/>
    <x v="196"/>
    <s v="Договор купли-продажи"/>
    <d v="2016-11-01T00:00:00"/>
    <d v="2016-11-01T00:00:00"/>
    <n v="1867848.95"/>
    <n v="30873.54"/>
    <n v="1"/>
    <s v="Ипотека"/>
    <s v="Квартира"/>
    <s v="Туймазинский"/>
    <x v="20"/>
    <s v="Комарова"/>
    <n v="7"/>
    <n v="1"/>
    <n v="2014"/>
  </r>
  <r>
    <x v="194"/>
    <x v="405"/>
    <s v="Договор купли-продажи"/>
    <d v="2017-02-01T00:00:00"/>
    <d v="2017-02-01T00:00:00"/>
    <n v="1800000"/>
    <n v="31088.080000000002"/>
    <n v="1"/>
    <s v="Ипотека"/>
    <s v="Квартира"/>
    <s v="Туймазинский"/>
    <x v="20"/>
    <s v="Комарова"/>
    <n v="2"/>
    <n v="1"/>
    <n v="2006"/>
  </r>
  <r>
    <x v="188"/>
    <x v="288"/>
    <s v="Договор купли-продажи"/>
    <d v="2017-02-01T00:00:00"/>
    <d v="2017-02-01T00:00:00"/>
    <n v="1430000"/>
    <n v="31154.68"/>
    <n v="1"/>
    <s v="Ипотека"/>
    <s v="Квартира"/>
    <s v="Туймазинский"/>
    <x v="20"/>
    <s v="Чапаева"/>
    <n v="1"/>
    <n v="2"/>
    <n v="2010"/>
  </r>
  <r>
    <x v="188"/>
    <x v="288"/>
    <s v="Договор купли-продажи"/>
    <d v="2017-02-01T00:00:00"/>
    <d v="2017-02-01T00:00:00"/>
    <n v="1430000"/>
    <n v="31154.68"/>
    <n v="1"/>
    <s v="Ипотека"/>
    <s v="Квартира"/>
    <s v="Туймазинский"/>
    <x v="20"/>
    <s v="Чапаева"/>
    <n v="1"/>
    <n v="2"/>
    <n v="2010"/>
  </r>
  <r>
    <x v="175"/>
    <x v="406"/>
    <s v="Договор купли-продажи"/>
    <d v="2017-03-01T00:00:00"/>
    <d v="2017-03-01T00:00:00"/>
    <n v="1500000"/>
    <n v="31315.24"/>
    <n v="1"/>
    <s v="Ипотека"/>
    <s v="Квартира"/>
    <s v="Туймазинский"/>
    <x v="20"/>
    <s v="Островского"/>
    <n v="3"/>
    <n v="1"/>
    <n v="2015"/>
  </r>
  <r>
    <x v="187"/>
    <x v="118"/>
    <s v="Договор купли-продажи"/>
    <d v="2017-01-01T00:00:00"/>
    <d v="2017-01-01T00:00:00"/>
    <n v="1400000"/>
    <n v="31319.91"/>
    <n v="1"/>
    <s v="Ипотека"/>
    <s v="Квартира"/>
    <s v="Туймазинский"/>
    <x v="20"/>
    <s v="Луначарского"/>
    <n v="1"/>
    <n v="1"/>
    <n v="2013"/>
  </r>
  <r>
    <x v="198"/>
    <x v="46"/>
    <s v="Договор купли-продажи"/>
    <d v="2017-03-01T00:00:00"/>
    <d v="2017-03-01T00:00:00"/>
    <n v="1028000"/>
    <n v="31341.46"/>
    <n v="1"/>
    <s v="Ипотека"/>
    <s v="Квартира"/>
    <s v="Туймазинский"/>
    <x v="20"/>
    <m/>
    <n v="5"/>
    <n v="1"/>
    <n v="2011"/>
  </r>
  <r>
    <x v="173"/>
    <x v="345"/>
    <s v="Договор купли-продажи"/>
    <d v="2016-10-01T00:00:00"/>
    <d v="2016-11-01T00:00:00"/>
    <n v="1360000"/>
    <n v="31408.78"/>
    <n v="1"/>
    <s v="Ипотека"/>
    <s v="Квартира"/>
    <s v="Туймазинский"/>
    <x v="20"/>
    <s v="Островского"/>
    <n v="1"/>
    <n v="1"/>
    <n v="2000"/>
  </r>
  <r>
    <x v="173"/>
    <x v="254"/>
    <s v="Договор купли-продажи"/>
    <d v="2016-11-01T00:00:00"/>
    <d v="2016-11-01T00:00:00"/>
    <n v="1752000"/>
    <n v="31567.57"/>
    <n v="1"/>
    <s v="Ипотека"/>
    <s v="Квартира"/>
    <s v="Туймазинский"/>
    <x v="20"/>
    <s v="70 лет Октября"/>
    <n v="3"/>
    <n v="1"/>
    <n v="2013"/>
  </r>
  <r>
    <x v="175"/>
    <x v="190"/>
    <s v="Договор купли-продажи"/>
    <d v="2017-02-01T00:00:00"/>
    <d v="2017-02-01T00:00:00"/>
    <n v="1440000"/>
    <n v="31648.35"/>
    <n v="1"/>
    <s v="Ипотека"/>
    <s v="Квартира"/>
    <s v="Туймазинский"/>
    <x v="20"/>
    <s v="С.Юлаева"/>
    <n v="4"/>
    <n v="1"/>
    <n v="2014"/>
  </r>
  <r>
    <x v="176"/>
    <x v="299"/>
    <s v="Договор купли-продажи"/>
    <d v="2017-03-01T00:00:00"/>
    <d v="2017-03-01T00:00:00"/>
    <n v="2000000"/>
    <n v="31746.03"/>
    <n v="1"/>
    <s v="Ипотека"/>
    <s v="Квартира"/>
    <s v="Туймазинский"/>
    <x v="20"/>
    <s v="Луначарского"/>
    <n v="2"/>
    <n v="1"/>
    <n v="2013"/>
  </r>
  <r>
    <x v="177"/>
    <x v="32"/>
    <s v="Договор купли-продажи"/>
    <d v="2016-11-01T00:00:00"/>
    <d v="2016-11-01T00:00:00"/>
    <n v="1392000"/>
    <n v="31853.55"/>
    <n v="1"/>
    <s v="Ипотека"/>
    <s v="Квартира"/>
    <s v="Туймазинский"/>
    <x v="20"/>
    <s v="Аксакова"/>
    <n v="2"/>
    <n v="1"/>
    <n v="2000"/>
  </r>
  <r>
    <x v="181"/>
    <x v="90"/>
    <s v="Договор купли-продажи"/>
    <d v="2016-11-01T00:00:00"/>
    <d v="2016-11-01T00:00:00"/>
    <n v="1040000"/>
    <n v="31901.84"/>
    <n v="1"/>
    <s v="Ипотека"/>
    <s v="Квартира"/>
    <s v="Туймазинский"/>
    <x v="20"/>
    <s v="Комарова"/>
    <n v="2"/>
    <n v="1"/>
    <n v="2000"/>
  </r>
  <r>
    <x v="177"/>
    <x v="67"/>
    <s v="Договор купли-продажи"/>
    <d v="2017-01-01T00:00:00"/>
    <d v="2017-01-01T00:00:00"/>
    <n v="1450000"/>
    <n v="32079.65"/>
    <n v="1"/>
    <s v="Ипотека"/>
    <s v="Квартира"/>
    <s v="Туймазинский"/>
    <x v="20"/>
    <s v="Аксакова"/>
    <n v="2"/>
    <n v="1"/>
    <n v="2004"/>
  </r>
  <r>
    <x v="173"/>
    <x v="56"/>
    <s v="Договор купли-продажи"/>
    <d v="2016-11-01T00:00:00"/>
    <d v="2016-11-01T00:00:00"/>
    <n v="930000"/>
    <n v="32179.93"/>
    <n v="1"/>
    <s v="Ипотека"/>
    <s v="Квартира"/>
    <s v="Туймазинский"/>
    <x v="20"/>
    <s v="Островского"/>
    <n v="1"/>
    <n v="1"/>
    <n v="2001"/>
  </r>
  <r>
    <x v="175"/>
    <x v="407"/>
    <s v="Договор купли-продажи"/>
    <d v="2017-02-01T00:00:00"/>
    <d v="2017-02-01T00:00:00"/>
    <n v="1187000"/>
    <n v="32255.43"/>
    <n v="1"/>
    <s v="Ипотека"/>
    <s v="Квартира"/>
    <s v="Туймазинский"/>
    <x v="20"/>
    <s v="Молодежный"/>
    <n v="4"/>
    <n v="2"/>
    <n v="2007"/>
  </r>
  <r>
    <x v="175"/>
    <x v="407"/>
    <s v="Договор купли-продажи"/>
    <d v="2017-02-01T00:00:00"/>
    <d v="2017-02-01T00:00:00"/>
    <n v="1187000"/>
    <n v="32255.43"/>
    <n v="1"/>
    <s v="Ипотека"/>
    <s v="Квартира"/>
    <s v="Туймазинский"/>
    <x v="20"/>
    <s v="Молодежный"/>
    <n v="4"/>
    <n v="2"/>
    <n v="2007"/>
  </r>
  <r>
    <x v="182"/>
    <x v="70"/>
    <s v="Договор купли-продажи"/>
    <d v="2016-12-01T00:00:00"/>
    <d v="2016-12-01T00:00:00"/>
    <n v="1440000"/>
    <n v="32287"/>
    <n v="1"/>
    <s v="Ипотека"/>
    <s v="Квартира"/>
    <s v="Туймазинский"/>
    <x v="20"/>
    <s v="Мичурина"/>
    <n v="4"/>
    <n v="1"/>
    <n v="2004"/>
  </r>
  <r>
    <x v="175"/>
    <x v="160"/>
    <s v="Договор купли-продажи"/>
    <d v="2016-12-01T00:00:00"/>
    <d v="2016-12-01T00:00:00"/>
    <n v="1565000"/>
    <n v="32604.17"/>
    <n v="1"/>
    <s v="Ипотека"/>
    <s v="Квартира"/>
    <s v="Туймазинский"/>
    <x v="20"/>
    <s v="Островского"/>
    <n v="4"/>
    <n v="1"/>
    <n v="2015"/>
  </r>
  <r>
    <x v="185"/>
    <x v="136"/>
    <s v="Договор купли-продажи"/>
    <d v="2017-03-01T00:00:00"/>
    <d v="2017-03-01T00:00:00"/>
    <n v="1350000"/>
    <n v="32687.65"/>
    <n v="1"/>
    <s v="Ипотека"/>
    <s v="Квартира"/>
    <s v="Туймазинский"/>
    <x v="20"/>
    <s v="Чехова"/>
    <n v="1"/>
    <n v="1"/>
    <n v="2001"/>
  </r>
  <r>
    <x v="173"/>
    <x v="194"/>
    <s v="Договор купли-продажи"/>
    <d v="2016-11-01T00:00:00"/>
    <d v="2016-11-01T00:00:00"/>
    <n v="1600000"/>
    <n v="32719.84"/>
    <n v="1"/>
    <s v="Ипотека"/>
    <s v="Квартира"/>
    <s v="Туймазинский"/>
    <x v="20"/>
    <s v="Комарова"/>
    <n v="5"/>
    <n v="1"/>
    <n v="2004"/>
  </r>
  <r>
    <x v="181"/>
    <x v="229"/>
    <s v="Договор купли-продажи"/>
    <d v="2017-01-01T00:00:00"/>
    <d v="2017-02-01T00:00:00"/>
    <n v="1300000"/>
    <n v="32745.59"/>
    <n v="1"/>
    <s v="Ипотека"/>
    <s v="Квартира"/>
    <s v="Туймазинский"/>
    <x v="20"/>
    <s v="Комарова"/>
    <n v="3"/>
    <n v="2"/>
    <n v="2009"/>
  </r>
  <r>
    <x v="181"/>
    <x v="229"/>
    <s v="Договор купли-продажи"/>
    <d v="2017-01-01T00:00:00"/>
    <d v="2017-02-01T00:00:00"/>
    <n v="1300000"/>
    <n v="32745.59"/>
    <n v="1"/>
    <s v="Ипотека"/>
    <s v="Квартира"/>
    <s v="Туймазинский"/>
    <x v="20"/>
    <s v="Комарова"/>
    <n v="3"/>
    <n v="2"/>
    <n v="2009"/>
  </r>
  <r>
    <x v="179"/>
    <x v="63"/>
    <s v="Договор купли-продажи"/>
    <d v="2016-12-01T00:00:00"/>
    <d v="2016-12-01T00:00:00"/>
    <n v="1650000"/>
    <n v="32803.18"/>
    <n v="1"/>
    <s v="Ипотека"/>
    <s v="Квартира"/>
    <s v="Туймазинский"/>
    <x v="20"/>
    <s v="Южная"/>
    <n v="2"/>
    <n v="1"/>
    <n v="2002"/>
  </r>
  <r>
    <x v="189"/>
    <x v="101"/>
    <s v="Договор купли-продажи"/>
    <d v="2017-03-01T00:00:00"/>
    <d v="2017-03-01T00:00:00"/>
    <n v="1960000"/>
    <n v="32830.82"/>
    <n v="1"/>
    <s v="Ипотека"/>
    <s v="Квартира"/>
    <s v="Туймазинский"/>
    <x v="20"/>
    <s v="Островского"/>
    <n v="4"/>
    <n v="1"/>
    <n v="2016"/>
  </r>
  <r>
    <x v="206"/>
    <x v="78"/>
    <s v="Договор купли-продажи"/>
    <d v="2017-01-01T00:00:00"/>
    <d v="2017-01-01T00:00:00"/>
    <n v="1380000"/>
    <n v="32935.56"/>
    <n v="1"/>
    <s v="Ипотека"/>
    <s v="Квартира"/>
    <s v="Туймазинский"/>
    <x v="20"/>
    <s v="Северная"/>
    <n v="1"/>
    <n v="2"/>
    <n v="2013"/>
  </r>
  <r>
    <x v="206"/>
    <x v="78"/>
    <s v="Договор купли-продажи"/>
    <d v="2017-01-01T00:00:00"/>
    <d v="2017-01-01T00:00:00"/>
    <n v="1380000"/>
    <n v="32935.56"/>
    <n v="1"/>
    <s v="Ипотека"/>
    <s v="Квартира"/>
    <s v="Туймазинский"/>
    <x v="20"/>
    <s v="Северная"/>
    <n v="1"/>
    <n v="2"/>
    <n v="2013"/>
  </r>
  <r>
    <x v="188"/>
    <x v="49"/>
    <s v="Договор купли-продажи"/>
    <d v="2016-12-01T00:00:00"/>
    <d v="2016-12-01T00:00:00"/>
    <n v="1440000"/>
    <n v="33027.519999999997"/>
    <n v="1"/>
    <s v="Ипотека"/>
    <s v="Квартира"/>
    <s v="Туймазинский"/>
    <x v="20"/>
    <s v="Чапаева"/>
    <n v="1"/>
    <n v="1"/>
    <n v="2005"/>
  </r>
  <r>
    <x v="181"/>
    <x v="408"/>
    <s v="Договор купли-продажи"/>
    <d v="2017-02-01T00:00:00"/>
    <d v="2017-02-01T00:00:00"/>
    <n v="2380000"/>
    <n v="33055.56"/>
    <n v="1"/>
    <s v="Ипотека"/>
    <s v="Квартира"/>
    <s v="Туймазинский"/>
    <x v="20"/>
    <s v="Комарова"/>
    <n v="8"/>
    <n v="2"/>
    <n v="2016"/>
  </r>
  <r>
    <x v="181"/>
    <x v="408"/>
    <s v="Договор купли-продажи"/>
    <d v="2017-02-01T00:00:00"/>
    <d v="2017-02-01T00:00:00"/>
    <n v="2380000"/>
    <n v="33055.56"/>
    <n v="1"/>
    <s v="Ипотека"/>
    <s v="Квартира"/>
    <s v="Туймазинский"/>
    <x v="20"/>
    <s v="Комарова"/>
    <n v="8"/>
    <n v="2"/>
    <n v="2016"/>
  </r>
  <r>
    <x v="197"/>
    <x v="409"/>
    <s v="Договор купли-продажи"/>
    <d v="2017-03-01T00:00:00"/>
    <d v="2017-03-01T00:00:00"/>
    <n v="2600000"/>
    <n v="33163.269999999997"/>
    <n v="1"/>
    <s v="Ипотека"/>
    <s v="Квартира"/>
    <s v="Туймазинский"/>
    <x v="20"/>
    <s v="Гагарина"/>
    <n v="5"/>
    <n v="1"/>
    <n v="2012"/>
  </r>
  <r>
    <x v="207"/>
    <x v="287"/>
    <s v="Договор купли-продажи"/>
    <d v="2016-12-01T00:00:00"/>
    <d v="2016-12-01T00:00:00"/>
    <n v="1400000"/>
    <n v="33492.82"/>
    <n v="1"/>
    <s v="Ипотека"/>
    <s v="Квартира"/>
    <s v="Туймазинский"/>
    <x v="20"/>
    <s v="Приречная"/>
    <n v="1"/>
    <n v="2"/>
    <n v="2006"/>
  </r>
  <r>
    <x v="207"/>
    <x v="287"/>
    <s v="Договор купли-продажи"/>
    <d v="2016-12-01T00:00:00"/>
    <d v="2016-12-01T00:00:00"/>
    <n v="1400000"/>
    <n v="33492.82"/>
    <n v="1"/>
    <s v="Ипотека"/>
    <s v="Квартира"/>
    <s v="Туймазинский"/>
    <x v="20"/>
    <s v="Приречная"/>
    <n v="1"/>
    <n v="2"/>
    <n v="2006"/>
  </r>
  <r>
    <x v="184"/>
    <x v="410"/>
    <s v="Договор купли-продажи"/>
    <d v="2016-12-01T00:00:00"/>
    <d v="2016-12-01T00:00:00"/>
    <n v="2020000"/>
    <n v="33554.82"/>
    <n v="1"/>
    <s v="Ипотека"/>
    <s v="Квартира"/>
    <s v="Туймазинский"/>
    <x v="20"/>
    <s v="Северная"/>
    <n v="2"/>
    <n v="1"/>
    <n v="2011"/>
  </r>
  <r>
    <x v="184"/>
    <x v="58"/>
    <s v="Договор купли-продажи"/>
    <d v="2017-02-01T00:00:00"/>
    <d v="2017-02-01T00:00:00"/>
    <n v="1000000"/>
    <n v="33557.050000000003"/>
    <n v="1"/>
    <s v="Ипотека"/>
    <s v="Квартира"/>
    <s v="Туймазинский"/>
    <x v="20"/>
    <s v="Ленина"/>
    <n v="2"/>
    <n v="1"/>
    <n v="2012"/>
  </r>
  <r>
    <x v="202"/>
    <x v="180"/>
    <s v="Договор купли-продажи"/>
    <d v="2016-10-01T00:00:00"/>
    <d v="2016-10-01T00:00:00"/>
    <n v="1360000"/>
    <n v="33580.25"/>
    <n v="1"/>
    <s v="Ипотека"/>
    <s v="Квартира"/>
    <s v="Туймазинский"/>
    <x v="20"/>
    <s v="Гафурова"/>
    <n v="6"/>
    <n v="1"/>
    <n v="2010"/>
  </r>
  <r>
    <x v="198"/>
    <x v="275"/>
    <s v="Договор купли-продажи"/>
    <d v="2017-02-01T00:00:00"/>
    <d v="2017-02-01T00:00:00"/>
    <n v="1200000"/>
    <n v="33613.449999999997"/>
    <n v="1"/>
    <s v="Ипотека"/>
    <s v="Квартира"/>
    <s v="Туймазинский"/>
    <x v="20"/>
    <s v="Чапаева"/>
    <n v="4"/>
    <n v="1"/>
    <n v="2002"/>
  </r>
  <r>
    <x v="198"/>
    <x v="286"/>
    <s v="Договор купли-продажи"/>
    <d v="2016-12-01T00:00:00"/>
    <d v="2016-12-01T00:00:00"/>
    <n v="1920000"/>
    <n v="33802.82"/>
    <n v="1"/>
    <s v="Ипотека"/>
    <s v="Квартира"/>
    <s v="Туймазинский"/>
    <x v="20"/>
    <m/>
    <n v="7"/>
    <n v="2"/>
    <n v="2015"/>
  </r>
  <r>
    <x v="198"/>
    <x v="286"/>
    <s v="Договор купли-продажи"/>
    <d v="2016-12-01T00:00:00"/>
    <d v="2016-12-01T00:00:00"/>
    <n v="1920000"/>
    <n v="33802.82"/>
    <n v="1"/>
    <s v="Ипотека"/>
    <s v="Квартира"/>
    <s v="Туймазинский"/>
    <x v="20"/>
    <m/>
    <n v="7"/>
    <n v="2"/>
    <n v="2015"/>
  </r>
  <r>
    <x v="173"/>
    <x v="45"/>
    <s v="Договор купли-продажи"/>
    <d v="2016-11-01T00:00:00"/>
    <d v="2016-12-01T00:00:00"/>
    <n v="1440000"/>
    <n v="33882.35"/>
    <n v="1"/>
    <s v="Ипотека"/>
    <s v="Квартира"/>
    <s v="Туймазинский"/>
    <x v="20"/>
    <s v="Островского"/>
    <n v="9"/>
    <n v="1"/>
    <n v="2008"/>
  </r>
  <r>
    <x v="184"/>
    <x v="206"/>
    <s v="Договор купли-продажи"/>
    <d v="2017-02-01T00:00:00"/>
    <d v="2017-02-01T00:00:00"/>
    <n v="1690000"/>
    <n v="33935.74"/>
    <n v="1"/>
    <s v="Ипотека"/>
    <s v="Квартира"/>
    <s v="Туймазинский"/>
    <x v="20"/>
    <s v="Ленина"/>
    <n v="3"/>
    <n v="1"/>
    <n v="2012"/>
  </r>
  <r>
    <x v="191"/>
    <x v="392"/>
    <s v="Договор купли-продажи"/>
    <d v="2016-11-01T00:00:00"/>
    <d v="2016-11-01T00:00:00"/>
    <n v="1734000"/>
    <n v="34000"/>
    <n v="1"/>
    <s v="Ипотека"/>
    <s v="Квартира"/>
    <s v="Туймазинский"/>
    <x v="20"/>
    <m/>
    <n v="6"/>
    <n v="1"/>
    <n v="2016"/>
  </r>
  <r>
    <x v="208"/>
    <x v="20"/>
    <s v="Договор купли-продажи"/>
    <d v="2016-12-01T00:00:00"/>
    <d v="2016-12-01T00:00:00"/>
    <n v="1480000"/>
    <n v="34022.99"/>
    <n v="1"/>
    <s v="Ипотека"/>
    <s v="Квартира"/>
    <s v="Туймазинский"/>
    <x v="20"/>
    <s v="8 Марта"/>
    <n v="4"/>
    <n v="1"/>
    <n v="2006"/>
  </r>
  <r>
    <x v="173"/>
    <x v="97"/>
    <s v="Договор купли-продажи"/>
    <d v="2016-09-01T00:00:00"/>
    <d v="2016-10-01T00:00:00"/>
    <n v="1800000"/>
    <n v="34155.599999999999"/>
    <n v="1"/>
    <s v="Ипотека"/>
    <s v="Квартира"/>
    <s v="Туймазинский"/>
    <x v="20"/>
    <s v="70 лет Октября"/>
    <n v="2"/>
    <n v="1"/>
    <n v="2008"/>
  </r>
  <r>
    <x v="198"/>
    <x v="355"/>
    <s v="Договор купли-продажи"/>
    <d v="2016-12-01T00:00:00"/>
    <d v="2016-12-01T00:00:00"/>
    <n v="1100000"/>
    <n v="34161.49"/>
    <n v="1"/>
    <s v="Ипотека"/>
    <s v="Квартира"/>
    <s v="Туймазинский"/>
    <x v="20"/>
    <s v="Чапаева"/>
    <n v="1"/>
    <n v="1"/>
    <n v="2000"/>
  </r>
  <r>
    <x v="188"/>
    <x v="42"/>
    <s v="Договор купли-продажи"/>
    <d v="2017-02-01T00:00:00"/>
    <d v="2017-03-01T00:00:00"/>
    <n v="1330000"/>
    <n v="34190.230000000003"/>
    <n v="1"/>
    <s v="Ипотека"/>
    <s v="Квартира"/>
    <s v="Туймазинский"/>
    <x v="20"/>
    <s v="Ленина"/>
    <n v="5"/>
    <n v="2"/>
    <n v="2000"/>
  </r>
  <r>
    <x v="188"/>
    <x v="42"/>
    <s v="Договор купли-продажи"/>
    <d v="2017-02-01T00:00:00"/>
    <d v="2017-03-01T00:00:00"/>
    <n v="1330000"/>
    <n v="34190.230000000003"/>
    <n v="1"/>
    <s v="Ипотека"/>
    <s v="Квартира"/>
    <s v="Туймазинский"/>
    <x v="20"/>
    <s v="Ленина"/>
    <n v="5"/>
    <n v="2"/>
    <n v="2000"/>
  </r>
  <r>
    <x v="171"/>
    <x v="12"/>
    <s v="Договор купли-продажи"/>
    <d v="2017-02-01T00:00:00"/>
    <d v="2017-02-01T00:00:00"/>
    <n v="1600000"/>
    <n v="34261.24"/>
    <n v="1"/>
    <s v="Ипотека"/>
    <s v="Квартира"/>
    <s v="Туймазинский"/>
    <x v="20"/>
    <m/>
    <n v="2"/>
    <n v="2"/>
    <n v="2010"/>
  </r>
  <r>
    <x v="171"/>
    <x v="12"/>
    <s v="Договор купли-продажи"/>
    <d v="2017-02-01T00:00:00"/>
    <d v="2017-02-01T00:00:00"/>
    <n v="1600000"/>
    <n v="34261.24"/>
    <n v="1"/>
    <s v="Ипотека"/>
    <s v="Квартира"/>
    <s v="Туймазинский"/>
    <x v="20"/>
    <m/>
    <n v="2"/>
    <n v="2"/>
    <n v="2010"/>
  </r>
  <r>
    <x v="175"/>
    <x v="315"/>
    <s v="Договор купли-продажи"/>
    <d v="2016-10-01T00:00:00"/>
    <d v="2016-10-01T00:00:00"/>
    <n v="1300000"/>
    <n v="34300.79"/>
    <n v="1"/>
    <s v="Ипотека"/>
    <s v="Квартира"/>
    <s v="Туймазинский"/>
    <x v="20"/>
    <s v="Молодежный"/>
    <n v="5"/>
    <n v="1"/>
    <n v="2006"/>
  </r>
  <r>
    <x v="191"/>
    <x v="122"/>
    <s v="Договор купли-продажи"/>
    <d v="2016-12-01T00:00:00"/>
    <d v="2016-12-01T00:00:00"/>
    <n v="1734000"/>
    <n v="34336.629999999997"/>
    <n v="1"/>
    <s v="Ипотека"/>
    <s v="Квартира"/>
    <s v="Туймазинский"/>
    <x v="20"/>
    <m/>
    <n v="2"/>
    <n v="1"/>
    <n v="2016"/>
  </r>
  <r>
    <x v="191"/>
    <x v="397"/>
    <s v="Договор купли-продажи"/>
    <d v="2016-11-01T00:00:00"/>
    <d v="2016-11-01T00:00:00"/>
    <n v="2270500"/>
    <n v="34664.120000000003"/>
    <n v="1"/>
    <s v="Ипотека"/>
    <s v="Квартира"/>
    <s v="Туймазинский"/>
    <x v="20"/>
    <m/>
    <n v="5"/>
    <n v="1"/>
    <n v="2016"/>
  </r>
  <r>
    <x v="171"/>
    <x v="271"/>
    <s v="Договор купли-продажи"/>
    <d v="2017-03-01T00:00:00"/>
    <d v="2017-03-01T00:00:00"/>
    <n v="1080000"/>
    <n v="34726.69"/>
    <n v="1"/>
    <s v="Ипотека"/>
    <s v="Квартира"/>
    <s v="Туймазинский"/>
    <x v="20"/>
    <m/>
    <n v="2"/>
    <n v="2"/>
    <n v="2006"/>
  </r>
  <r>
    <x v="171"/>
    <x v="271"/>
    <s v="Договор купли-продажи"/>
    <d v="2017-03-01T00:00:00"/>
    <d v="2017-03-01T00:00:00"/>
    <n v="1080000"/>
    <n v="34726.69"/>
    <n v="1"/>
    <s v="Ипотека"/>
    <s v="Квартира"/>
    <s v="Туймазинский"/>
    <x v="20"/>
    <m/>
    <n v="2"/>
    <n v="2"/>
    <n v="2006"/>
  </r>
  <r>
    <x v="173"/>
    <x v="5"/>
    <s v="Договор купли-продажи"/>
    <d v="2017-02-01T00:00:00"/>
    <d v="2017-02-01T00:00:00"/>
    <n v="1080000"/>
    <n v="34838.71"/>
    <n v="1"/>
    <s v="Ипотека"/>
    <s v="Квартира"/>
    <s v="Туймазинский"/>
    <x v="20"/>
    <s v="Ленина"/>
    <n v="9"/>
    <n v="2"/>
    <n v="2017"/>
  </r>
  <r>
    <x v="173"/>
    <x v="5"/>
    <s v="Договор купли-продажи"/>
    <d v="2017-02-01T00:00:00"/>
    <d v="2017-02-01T00:00:00"/>
    <n v="1080000"/>
    <n v="34838.71"/>
    <n v="1"/>
    <s v="Ипотека"/>
    <s v="Квартира"/>
    <s v="Туймазинский"/>
    <x v="20"/>
    <s v="Ленина"/>
    <n v="9"/>
    <n v="2"/>
    <n v="2017"/>
  </r>
  <r>
    <x v="175"/>
    <x v="411"/>
    <s v="Договор купли-продажи"/>
    <d v="2017-03-01T00:00:00"/>
    <d v="2017-03-01T00:00:00"/>
    <n v="1110000"/>
    <n v="34905.660000000003"/>
    <n v="1"/>
    <s v="Ипотека"/>
    <s v="Квартира"/>
    <s v="Туймазинский"/>
    <x v="20"/>
    <s v="С.Юлаева"/>
    <n v="2"/>
    <n v="1"/>
    <n v="2013"/>
  </r>
  <r>
    <x v="173"/>
    <x v="46"/>
    <s v="Договор купли-продажи"/>
    <d v="2017-03-01T00:00:00"/>
    <d v="2017-03-01T00:00:00"/>
    <n v="1147500"/>
    <n v="34984.76"/>
    <n v="1"/>
    <s v="Ипотека"/>
    <s v="Квартира"/>
    <s v="Туймазинский"/>
    <x v="20"/>
    <s v="70 лет Октября"/>
    <n v="2"/>
    <n v="1"/>
    <n v="2008"/>
  </r>
  <r>
    <x v="191"/>
    <x v="392"/>
    <s v="Договор купли-продажи"/>
    <d v="2017-02-01T00:00:00"/>
    <d v="2017-02-01T00:00:00"/>
    <n v="1785000"/>
    <n v="35000"/>
    <n v="1"/>
    <s v="Ипотека"/>
    <s v="Квартира"/>
    <s v="Туймазинский"/>
    <x v="20"/>
    <m/>
    <n v="6"/>
    <n v="1"/>
    <n v="2017"/>
  </r>
  <r>
    <x v="173"/>
    <x v="2"/>
    <s v="Договор купли-продажи"/>
    <d v="2016-12-01T00:00:00"/>
    <d v="2016-12-01T00:00:00"/>
    <n v="1050400"/>
    <n v="35013.33"/>
    <n v="1"/>
    <s v="Ипотека"/>
    <s v="Квартира"/>
    <s v="Туймазинский"/>
    <x v="20"/>
    <s v="Островского"/>
    <n v="4"/>
    <n v="2"/>
    <n v="2001"/>
  </r>
  <r>
    <x v="173"/>
    <x v="2"/>
    <s v="Договор купли-продажи"/>
    <d v="2016-12-01T00:00:00"/>
    <d v="2016-12-01T00:00:00"/>
    <n v="1050400"/>
    <n v="35013.33"/>
    <n v="1"/>
    <s v="Ипотека"/>
    <s v="Квартира"/>
    <s v="Туймазинский"/>
    <x v="20"/>
    <s v="Островского"/>
    <n v="4"/>
    <n v="2"/>
    <n v="2001"/>
  </r>
  <r>
    <x v="188"/>
    <x v="412"/>
    <s v="Договор купли-продажи"/>
    <d v="2016-11-01T00:00:00"/>
    <d v="2016-11-01T00:00:00"/>
    <n v="1000000"/>
    <n v="35087.72"/>
    <n v="1"/>
    <s v="Ипотека"/>
    <s v="Квартира"/>
    <s v="Туймазинский"/>
    <x v="20"/>
    <m/>
    <n v="3"/>
    <n v="1"/>
    <n v="2006"/>
  </r>
  <r>
    <x v="186"/>
    <x v="273"/>
    <s v="Договор купли-продажи"/>
    <d v="2016-10-01T00:00:00"/>
    <d v="2016-10-01T00:00:00"/>
    <n v="1212000"/>
    <n v="35232.559999999998"/>
    <n v="1"/>
    <s v="Ипотека"/>
    <s v="Квартира"/>
    <s v="Туймазинский"/>
    <x v="20"/>
    <s v="8 Марта"/>
    <n v="4"/>
    <n v="1"/>
    <n v="2016"/>
  </r>
  <r>
    <x v="198"/>
    <x v="413"/>
    <s v="Договор купли-продажи"/>
    <d v="2016-12-01T00:00:00"/>
    <d v="2016-12-01T00:00:00"/>
    <n v="1200000"/>
    <n v="35608.31"/>
    <n v="1"/>
    <s v="Ипотека"/>
    <s v="Квартира"/>
    <s v="Туймазинский"/>
    <x v="20"/>
    <s v="Луначарского"/>
    <n v="1"/>
    <n v="1"/>
    <n v="2013"/>
  </r>
  <r>
    <x v="171"/>
    <x v="251"/>
    <s v="Договор купли-продажи"/>
    <d v="2016-10-01T00:00:00"/>
    <d v="2016-10-01T00:00:00"/>
    <n v="1600000"/>
    <n v="35714.29"/>
    <n v="1"/>
    <s v="Ипотека"/>
    <s v="Квартира"/>
    <s v="Туймазинский"/>
    <x v="20"/>
    <m/>
    <n v="3"/>
    <n v="1"/>
    <n v="2003"/>
  </r>
  <r>
    <x v="191"/>
    <x v="122"/>
    <s v="Договор купли-продажи"/>
    <d v="2017-01-01T00:00:00"/>
    <d v="2017-01-01T00:00:00"/>
    <n v="1805000"/>
    <n v="35742.57"/>
    <n v="1"/>
    <s v="Ипотека"/>
    <s v="Квартира"/>
    <s v="Туймазинский"/>
    <x v="20"/>
    <m/>
    <n v="6"/>
    <n v="1"/>
    <n v="2017"/>
  </r>
  <r>
    <x v="181"/>
    <x v="194"/>
    <s v="Договор купли-продажи"/>
    <d v="2017-03-01T00:00:00"/>
    <d v="2017-03-01T00:00:00"/>
    <n v="1750000"/>
    <n v="35787.32"/>
    <n v="1"/>
    <s v="Ипотека"/>
    <s v="Квартира"/>
    <s v="Туймазинский"/>
    <x v="20"/>
    <s v="Комарова"/>
    <n v="3"/>
    <n v="1"/>
    <n v="2003"/>
  </r>
  <r>
    <x v="173"/>
    <x v="125"/>
    <s v="Договор купли-продажи"/>
    <d v="2016-10-01T00:00:00"/>
    <d v="2016-10-01T00:00:00"/>
    <n v="1800000"/>
    <n v="35856.57"/>
    <n v="1"/>
    <s v="Ипотека"/>
    <s v="Квартира"/>
    <s v="Туймазинский"/>
    <x v="20"/>
    <s v="Комарова"/>
    <n v="5"/>
    <n v="1"/>
    <n v="2003"/>
  </r>
  <r>
    <x v="191"/>
    <x v="397"/>
    <s v="Договор купли-продажи"/>
    <d v="2017-01-01T00:00:00"/>
    <d v="2017-02-01T00:00:00"/>
    <n v="2352000"/>
    <n v="35908.400000000001"/>
    <n v="1"/>
    <s v="Ипотека"/>
    <s v="Квартира"/>
    <s v="Туймазинский"/>
    <x v="20"/>
    <m/>
    <n v="6"/>
    <n v="1"/>
    <n v="2017"/>
  </r>
  <r>
    <x v="188"/>
    <x v="414"/>
    <s v="Договор купли-продажи"/>
    <d v="2016-12-01T00:00:00"/>
    <d v="2016-12-01T00:00:00"/>
    <n v="1850000"/>
    <n v="35992.22"/>
    <n v="1"/>
    <s v="Ипотека"/>
    <s v="Квартира"/>
    <s v="Туймазинский"/>
    <x v="20"/>
    <s v="Комарова"/>
    <n v="5"/>
    <n v="2"/>
    <n v="2013"/>
  </r>
  <r>
    <x v="188"/>
    <x v="414"/>
    <s v="Договор купли-продажи"/>
    <d v="2016-12-01T00:00:00"/>
    <d v="2016-12-01T00:00:00"/>
    <n v="1850000"/>
    <n v="35992.22"/>
    <n v="1"/>
    <s v="Ипотека"/>
    <s v="Квартира"/>
    <s v="Туймазинский"/>
    <x v="20"/>
    <s v="Комарова"/>
    <n v="5"/>
    <n v="2"/>
    <n v="2013"/>
  </r>
  <r>
    <x v="189"/>
    <x v="415"/>
    <s v="Договор купли-продажи"/>
    <d v="2017-01-01T00:00:00"/>
    <d v="2017-01-01T00:00:00"/>
    <n v="2750000"/>
    <n v="35994.76"/>
    <n v="1"/>
    <s v="Ипотека"/>
    <s v="Помещение"/>
    <s v="Туймазинский"/>
    <x v="20"/>
    <s v="Островского"/>
    <n v="4"/>
    <n v="1"/>
    <n v="2015"/>
  </r>
  <r>
    <x v="173"/>
    <x v="227"/>
    <s v="Договор купли-продажи"/>
    <d v="2017-02-01T00:00:00"/>
    <d v="2017-02-01T00:00:00"/>
    <n v="1700000"/>
    <n v="36093.42"/>
    <n v="1"/>
    <s v="Ипотека"/>
    <s v="Квартира"/>
    <s v="Туймазинский"/>
    <x v="20"/>
    <s v="70 лет Октября"/>
    <n v="1"/>
    <n v="1"/>
    <n v="2012"/>
  </r>
  <r>
    <x v="175"/>
    <x v="351"/>
    <s v="Договор купли-продажи"/>
    <d v="2017-02-01T00:00:00"/>
    <d v="2017-02-01T00:00:00"/>
    <n v="1700000"/>
    <n v="36170.21"/>
    <n v="1"/>
    <s v="Ипотека"/>
    <s v="Квартира"/>
    <s v="Туймазинский"/>
    <x v="20"/>
    <s v="Островского"/>
    <n v="1"/>
    <n v="1"/>
    <n v="2015"/>
  </r>
  <r>
    <x v="202"/>
    <x v="255"/>
    <s v="Договор купли-продажи"/>
    <d v="2016-12-01T00:00:00"/>
    <d v="2016-12-01T00:00:00"/>
    <n v="1640000"/>
    <n v="36444.44"/>
    <n v="1"/>
    <s v="Ипотека"/>
    <s v="Квартира"/>
    <s v="Туймазинский"/>
    <x v="20"/>
    <s v="Гафурова"/>
    <n v="4"/>
    <n v="1"/>
    <n v="2012"/>
  </r>
  <r>
    <x v="188"/>
    <x v="132"/>
    <s v="Договор купли-продажи"/>
    <d v="2016-12-01T00:00:00"/>
    <d v="2016-12-01T00:00:00"/>
    <n v="1112000"/>
    <n v="36578.949999999997"/>
    <n v="1"/>
    <s v="Ипотека"/>
    <s v="Квартира"/>
    <s v="Туймазинский"/>
    <x v="20"/>
    <s v="Ленина"/>
    <n v="1"/>
    <n v="1"/>
    <n v="2004"/>
  </r>
  <r>
    <x v="173"/>
    <x v="69"/>
    <s v="Договор купли-продажи"/>
    <d v="2016-12-01T00:00:00"/>
    <d v="2016-12-01T00:00:00"/>
    <n v="1624000"/>
    <n v="36659.14"/>
    <n v="1"/>
    <s v="Ипотека"/>
    <s v="Квартира"/>
    <s v="Туймазинский"/>
    <x v="20"/>
    <m/>
    <n v="1"/>
    <n v="2"/>
    <n v="2009"/>
  </r>
  <r>
    <x v="173"/>
    <x v="69"/>
    <s v="Договор купли-продажи"/>
    <d v="2016-12-01T00:00:00"/>
    <d v="2016-12-01T00:00:00"/>
    <n v="1624000"/>
    <n v="36659.14"/>
    <n v="1"/>
    <s v="Ипотека"/>
    <s v="Квартира"/>
    <s v="Туймазинский"/>
    <x v="20"/>
    <m/>
    <n v="1"/>
    <n v="2"/>
    <n v="2009"/>
  </r>
  <r>
    <x v="178"/>
    <x v="116"/>
    <s v="Договор купли-продажи"/>
    <d v="2017-01-01T00:00:00"/>
    <d v="2017-01-01T00:00:00"/>
    <n v="2200000"/>
    <n v="36666.67"/>
    <n v="1"/>
    <s v="Ипотека"/>
    <s v="Квартира"/>
    <s v="Туймазинский"/>
    <x v="20"/>
    <s v="Луначарского"/>
    <n v="7"/>
    <n v="2"/>
    <n v="2014"/>
  </r>
  <r>
    <x v="178"/>
    <x v="116"/>
    <s v="Договор купли-продажи"/>
    <d v="2017-01-01T00:00:00"/>
    <d v="2017-01-01T00:00:00"/>
    <n v="2200000"/>
    <n v="36666.67"/>
    <n v="1"/>
    <s v="Ипотека"/>
    <s v="Квартира"/>
    <s v="Туймазинский"/>
    <x v="20"/>
    <s v="Луначарского"/>
    <n v="7"/>
    <n v="2"/>
    <n v="2014"/>
  </r>
  <r>
    <x v="188"/>
    <x v="118"/>
    <s v="Договор купли-продажи"/>
    <d v="2016-11-01T00:00:00"/>
    <d v="2016-11-01T00:00:00"/>
    <n v="1640000"/>
    <n v="36689.040000000001"/>
    <n v="1"/>
    <s v="Ипотека"/>
    <s v="Квартира"/>
    <s v="Туймазинский"/>
    <x v="20"/>
    <s v="Ленина"/>
    <n v="2"/>
    <n v="1"/>
    <n v="2005"/>
  </r>
  <r>
    <x v="171"/>
    <x v="123"/>
    <s v="Договор купли-продажи"/>
    <d v="2017-02-01T00:00:00"/>
    <d v="2017-02-01T00:00:00"/>
    <n v="1700000"/>
    <n v="36796.54"/>
    <n v="1"/>
    <s v="Ипотека"/>
    <s v="Квартира"/>
    <s v="Туймазинский"/>
    <x v="20"/>
    <m/>
    <n v="5"/>
    <n v="2"/>
    <n v="2012"/>
  </r>
  <r>
    <x v="171"/>
    <x v="123"/>
    <s v="Договор купли-продажи"/>
    <d v="2017-02-01T00:00:00"/>
    <d v="2017-02-01T00:00:00"/>
    <n v="1700000"/>
    <n v="36796.54"/>
    <n v="1"/>
    <s v="Ипотека"/>
    <s v="Квартира"/>
    <s v="Туймазинский"/>
    <x v="20"/>
    <m/>
    <n v="5"/>
    <n v="2"/>
    <n v="2012"/>
  </r>
  <r>
    <x v="186"/>
    <x v="24"/>
    <s v="Договор купли-продажи"/>
    <d v="2016-11-01T00:00:00"/>
    <d v="2016-11-01T00:00:00"/>
    <n v="1672000"/>
    <n v="36909.49"/>
    <n v="1"/>
    <s v="Ипотека"/>
    <s v="Квартира"/>
    <s v="Туймазинский"/>
    <x v="20"/>
    <s v="8 Марта"/>
    <n v="1"/>
    <n v="1"/>
    <n v="2012"/>
  </r>
  <r>
    <x v="198"/>
    <x v="188"/>
    <s v="Договор купли-продажи"/>
    <d v="2016-10-01T00:00:00"/>
    <d v="2016-10-01T00:00:00"/>
    <n v="1785000"/>
    <n v="36956.519999999997"/>
    <n v="1"/>
    <s v="Ипотека"/>
    <s v="Квартира"/>
    <s v="Туймазинский"/>
    <x v="20"/>
    <s v="Чапаева"/>
    <n v="1"/>
    <n v="1"/>
    <n v="2002"/>
  </r>
  <r>
    <x v="171"/>
    <x v="271"/>
    <s v="Договор купли-продажи"/>
    <d v="2016-10-01T00:00:00"/>
    <d v="2016-10-01T00:00:00"/>
    <n v="1152000"/>
    <n v="37041.800000000003"/>
    <n v="1"/>
    <s v="Ипотека"/>
    <s v="Квартира"/>
    <s v="Туймазинский"/>
    <x v="20"/>
    <s v="Ленина"/>
    <n v="5"/>
    <n v="2"/>
    <n v="2016"/>
  </r>
  <r>
    <x v="171"/>
    <x v="271"/>
    <s v="Договор купли-продажи"/>
    <d v="2016-10-01T00:00:00"/>
    <d v="2016-10-01T00:00:00"/>
    <n v="1152000"/>
    <n v="37041.800000000003"/>
    <n v="1"/>
    <s v="Ипотека"/>
    <s v="Квартира"/>
    <s v="Туймазинский"/>
    <x v="20"/>
    <s v="Ленина"/>
    <n v="5"/>
    <n v="2"/>
    <n v="2016"/>
  </r>
  <r>
    <x v="198"/>
    <x v="274"/>
    <s v="Договор купли-продажи"/>
    <d v="2017-03-01T00:00:00"/>
    <d v="2017-03-01T00:00:00"/>
    <n v="1402000"/>
    <n v="37089.949999999997"/>
    <n v="1"/>
    <s v="Ипотека"/>
    <s v="Квартира"/>
    <s v="Туймазинский"/>
    <x v="20"/>
    <m/>
    <n v="2"/>
    <n v="1"/>
    <n v="2011"/>
  </r>
  <r>
    <x v="184"/>
    <x v="95"/>
    <s v="Договор купли-продажи"/>
    <d v="2016-12-01T00:00:00"/>
    <d v="2016-12-01T00:00:00"/>
    <n v="1450000"/>
    <n v="37179.49"/>
    <n v="1"/>
    <s v="Ипотека"/>
    <s v="Квартира"/>
    <s v="Туймазинский"/>
    <x v="20"/>
    <s v="Щербакова"/>
    <n v="2"/>
    <n v="1"/>
    <n v="2013"/>
  </r>
  <r>
    <x v="176"/>
    <x v="110"/>
    <s v="Договор купли-продажи"/>
    <d v="2016-10-01T00:00:00"/>
    <d v="2016-10-01T00:00:00"/>
    <n v="2000000"/>
    <n v="37313.43"/>
    <n v="1"/>
    <s v="Ипотека"/>
    <s v="Квартира"/>
    <s v="Туймазинский"/>
    <x v="20"/>
    <m/>
    <m/>
    <n v="1"/>
    <n v="2010"/>
  </r>
  <r>
    <x v="209"/>
    <x v="225"/>
    <s v="Договор купли-продажи"/>
    <d v="2016-10-01T00:00:00"/>
    <d v="2016-10-01T00:00:00"/>
    <n v="2100000"/>
    <n v="37366.550000000003"/>
    <n v="1"/>
    <s v="Ипотека"/>
    <s v="Квартира"/>
    <s v="Туймазинский"/>
    <x v="20"/>
    <s v="Мичурина"/>
    <n v="9"/>
    <n v="1"/>
    <n v="2010"/>
  </r>
  <r>
    <x v="176"/>
    <x v="210"/>
    <s v="Договор купли-продажи"/>
    <d v="2016-11-01T00:00:00"/>
    <d v="2016-11-01T00:00:00"/>
    <n v="1350000"/>
    <n v="37500"/>
    <n v="1"/>
    <s v="Ипотека"/>
    <s v="Квартира"/>
    <s v="Туймазинский"/>
    <x v="20"/>
    <m/>
    <n v="2"/>
    <n v="2"/>
    <n v="2006"/>
  </r>
  <r>
    <x v="176"/>
    <x v="210"/>
    <s v="Договор купли-продажи"/>
    <d v="2016-11-01T00:00:00"/>
    <d v="2016-11-01T00:00:00"/>
    <n v="1350000"/>
    <n v="37500"/>
    <n v="1"/>
    <s v="Ипотека"/>
    <s v="Квартира"/>
    <s v="Туймазинский"/>
    <x v="20"/>
    <m/>
    <n v="2"/>
    <n v="2"/>
    <n v="2006"/>
  </r>
  <r>
    <x v="204"/>
    <x v="348"/>
    <s v="Договор купли-продажи"/>
    <d v="2016-10-01T00:00:00"/>
    <d v="2016-11-01T00:00:00"/>
    <n v="1160000"/>
    <n v="37540.449999999997"/>
    <n v="1"/>
    <s v="Ипотека"/>
    <s v="Квартира"/>
    <s v="Туймазинский"/>
    <x v="20"/>
    <s v="Ленина"/>
    <n v="3"/>
    <n v="1"/>
    <n v="2002"/>
  </r>
  <r>
    <x v="188"/>
    <x v="416"/>
    <s v="Договор купли-продажи"/>
    <d v="2017-03-01T00:00:00"/>
    <d v="2017-03-01T00:00:00"/>
    <n v="1860000"/>
    <n v="38193.019999999997"/>
    <n v="1"/>
    <s v="Ипотека"/>
    <s v="Квартира"/>
    <s v="Туймазинский"/>
    <x v="20"/>
    <s v="Комарова"/>
    <n v="5"/>
    <n v="1"/>
    <n v="2006"/>
  </r>
  <r>
    <x v="173"/>
    <x v="173"/>
    <s v="Договор купли-продажи"/>
    <d v="2016-12-01T00:00:00"/>
    <d v="2016-12-01T00:00:00"/>
    <n v="1656000"/>
    <n v="38333.33"/>
    <n v="1"/>
    <s v="Ипотека"/>
    <s v="Квартира"/>
    <s v="Туймазинский"/>
    <x v="20"/>
    <s v="Комарова"/>
    <n v="2"/>
    <n v="1"/>
    <n v="2005"/>
  </r>
  <r>
    <x v="173"/>
    <x v="69"/>
    <s v="Договор купли-продажи"/>
    <d v="2016-10-01T00:00:00"/>
    <d v="2016-11-01T00:00:00"/>
    <n v="1710000"/>
    <n v="38600.449999999997"/>
    <n v="1"/>
    <s v="Ипотека"/>
    <s v="Квартира"/>
    <s v="Туймазинский"/>
    <x v="20"/>
    <s v="Ленина"/>
    <n v="4"/>
    <n v="1"/>
    <n v="2004"/>
  </r>
  <r>
    <x v="171"/>
    <x v="5"/>
    <s v="Договор купли-продажи"/>
    <d v="2017-02-01T00:00:00"/>
    <d v="2017-02-01T00:00:00"/>
    <n v="1216000"/>
    <n v="39225.81"/>
    <n v="1"/>
    <s v="Ипотека"/>
    <s v="Квартира"/>
    <s v="Туймазинский"/>
    <x v="20"/>
    <s v="Комарова"/>
    <n v="4"/>
    <n v="1"/>
    <n v="2015"/>
  </r>
  <r>
    <x v="198"/>
    <x v="186"/>
    <s v="Договор купли-продажи"/>
    <d v="2016-10-01T00:00:00"/>
    <d v="2016-10-01T00:00:00"/>
    <n v="1561000"/>
    <n v="39518.99"/>
    <n v="1"/>
    <s v="Ипотека"/>
    <s v="Квартира"/>
    <s v="Туймазинский"/>
    <x v="20"/>
    <m/>
    <n v="5"/>
    <n v="1"/>
    <n v="2015"/>
  </r>
  <r>
    <x v="173"/>
    <x v="417"/>
    <s v="Договор купли-продажи"/>
    <d v="2017-02-01T00:00:00"/>
    <d v="2017-03-01T00:00:00"/>
    <n v="2400000"/>
    <n v="39735.1"/>
    <n v="1"/>
    <s v="Ипотека"/>
    <s v="Квартира"/>
    <s v="Туймазинский"/>
    <x v="20"/>
    <s v="Ленина"/>
    <n v="2"/>
    <n v="1"/>
    <n v="2007"/>
  </r>
  <r>
    <x v="189"/>
    <x v="244"/>
    <s v="Договор купли-продажи"/>
    <d v="2017-03-01T00:00:00"/>
    <d v="2017-03-01T00:00:00"/>
    <n v="2334000"/>
    <n v="39761.5"/>
    <n v="1"/>
    <s v="Ипотека"/>
    <s v="Помещение"/>
    <s v="Туймазинский"/>
    <x v="20"/>
    <s v="Островского"/>
    <n v="2"/>
    <n v="1"/>
    <n v="2017"/>
  </r>
  <r>
    <x v="179"/>
    <x v="133"/>
    <s v="Договор купли-продажи"/>
    <d v="2016-12-01T00:00:00"/>
    <d v="2016-12-01T00:00:00"/>
    <n v="1270000"/>
    <n v="39811.910000000003"/>
    <n v="1"/>
    <s v="Ипотека"/>
    <s v="Квартира"/>
    <s v="Туймазинский"/>
    <x v="20"/>
    <s v="Южная"/>
    <n v="4"/>
    <n v="1"/>
    <n v="2013"/>
  </r>
  <r>
    <x v="173"/>
    <x v="44"/>
    <s v="Договор купли-продажи"/>
    <d v="2016-10-01T00:00:00"/>
    <d v="2016-10-01T00:00:00"/>
    <n v="1850000"/>
    <n v="40481.4"/>
    <n v="1"/>
    <s v="Ипотека"/>
    <s v="Квартира"/>
    <s v="Туймазинский"/>
    <x v="20"/>
    <s v="Островского"/>
    <n v="1"/>
    <n v="1"/>
    <n v="2005"/>
  </r>
  <r>
    <x v="181"/>
    <x v="418"/>
    <s v="Договор купли-продажи"/>
    <d v="2016-09-01T00:00:00"/>
    <d v="2016-10-01T00:00:00"/>
    <n v="2240000"/>
    <n v="40506.33"/>
    <n v="1"/>
    <s v="Ипотека"/>
    <s v="Квартира"/>
    <s v="Туймазинский"/>
    <x v="20"/>
    <s v="Комарова"/>
    <n v="5"/>
    <n v="1"/>
    <n v="2011"/>
  </r>
  <r>
    <x v="173"/>
    <x v="76"/>
    <s v="Договор купли-продажи"/>
    <d v="2017-03-01T00:00:00"/>
    <d v="2017-03-01T00:00:00"/>
    <n v="1722000"/>
    <n v="40613.21"/>
    <n v="1"/>
    <s v="Ипотека"/>
    <s v="Квартира"/>
    <s v="Туймазинский"/>
    <x v="20"/>
    <s v="Островского"/>
    <n v="5"/>
    <n v="2"/>
    <n v="2002"/>
  </r>
  <r>
    <x v="173"/>
    <x v="76"/>
    <s v="Договор купли-продажи"/>
    <d v="2017-03-01T00:00:00"/>
    <d v="2017-03-01T00:00:00"/>
    <n v="1722000"/>
    <n v="40613.21"/>
    <n v="1"/>
    <s v="Ипотека"/>
    <s v="Квартира"/>
    <s v="Туймазинский"/>
    <x v="20"/>
    <s v="Островского"/>
    <n v="5"/>
    <n v="2"/>
    <n v="2002"/>
  </r>
  <r>
    <x v="210"/>
    <x v="21"/>
    <s v="Договор купли-продажи"/>
    <d v="2016-12-01T00:00:00"/>
    <d v="2016-12-01T00:00:00"/>
    <n v="1640000"/>
    <n v="40694.79"/>
    <n v="1"/>
    <s v="Ипотека"/>
    <s v="Квартира"/>
    <s v="Туймазинский"/>
    <x v="20"/>
    <s v="Ленина"/>
    <n v="4"/>
    <n v="1"/>
    <n v="2012"/>
  </r>
  <r>
    <x v="201"/>
    <x v="300"/>
    <s v="Договор купли-продажи"/>
    <d v="2017-03-01T00:00:00"/>
    <d v="2017-03-01T00:00:00"/>
    <n v="1128000"/>
    <n v="40722.019999999997"/>
    <n v="1"/>
    <s v="Ипотека"/>
    <s v="Квартира"/>
    <s v="Туймазинский"/>
    <x v="20"/>
    <s v="Островского"/>
    <n v="3"/>
    <n v="2"/>
    <n v="2004"/>
  </r>
  <r>
    <x v="201"/>
    <x v="300"/>
    <s v="Договор купли-продажи"/>
    <d v="2017-03-01T00:00:00"/>
    <d v="2017-03-01T00:00:00"/>
    <n v="1128000"/>
    <n v="40722.019999999997"/>
    <n v="1"/>
    <s v="Ипотека"/>
    <s v="Квартира"/>
    <s v="Туймазинский"/>
    <x v="20"/>
    <s v="Островского"/>
    <n v="3"/>
    <n v="2"/>
    <n v="2004"/>
  </r>
  <r>
    <x v="198"/>
    <x v="143"/>
    <s v="Договор купли-продажи"/>
    <d v="2016-10-01T00:00:00"/>
    <d v="2016-10-01T00:00:00"/>
    <n v="2250000"/>
    <n v="40909.089999999997"/>
    <n v="1"/>
    <s v="Ипотека"/>
    <s v="Квартира"/>
    <s v="Туймазинский"/>
    <x v="20"/>
    <m/>
    <n v="4"/>
    <n v="1"/>
    <n v="2011"/>
  </r>
  <r>
    <x v="173"/>
    <x v="198"/>
    <s v="Договор купли-продажи"/>
    <d v="2017-01-01T00:00:00"/>
    <d v="2017-01-01T00:00:00"/>
    <n v="1240000"/>
    <n v="41196.01"/>
    <n v="1"/>
    <s v="Ипотека"/>
    <s v="Квартира"/>
    <s v="Туймазинский"/>
    <x v="20"/>
    <s v="Ленина"/>
    <n v="5"/>
    <n v="1"/>
    <n v="2000"/>
  </r>
  <r>
    <x v="179"/>
    <x v="206"/>
    <s v="Договор купли-продажи"/>
    <d v="2016-12-01T00:00:00"/>
    <d v="2016-12-01T00:00:00"/>
    <n v="2100000"/>
    <n v="42168.67"/>
    <n v="1"/>
    <s v="Ипотека"/>
    <s v="Квартира"/>
    <s v="Туймазинский"/>
    <x v="20"/>
    <s v="Луначарского"/>
    <n v="5"/>
    <n v="2"/>
    <n v="2003"/>
  </r>
  <r>
    <x v="179"/>
    <x v="206"/>
    <s v="Договор купли-продажи"/>
    <d v="2016-12-01T00:00:00"/>
    <d v="2016-12-01T00:00:00"/>
    <n v="2100000"/>
    <n v="42168.67"/>
    <n v="1"/>
    <s v="Ипотека"/>
    <s v="Квартира"/>
    <s v="Туймазинский"/>
    <x v="20"/>
    <s v="Луначарского"/>
    <n v="5"/>
    <n v="2"/>
    <n v="2003"/>
  </r>
  <r>
    <x v="181"/>
    <x v="417"/>
    <s v="Договор купли-продажи"/>
    <d v="2017-03-01T00:00:00"/>
    <d v="2017-03-01T00:00:00"/>
    <n v="2550000"/>
    <n v="42218.54"/>
    <n v="1"/>
    <s v="Ипотека"/>
    <s v="Квартира"/>
    <s v="Туймазинский"/>
    <x v="20"/>
    <s v="Комарова"/>
    <n v="8"/>
    <n v="1"/>
    <n v="2016"/>
  </r>
  <r>
    <x v="173"/>
    <x v="377"/>
    <s v="Договор купли-продажи"/>
    <d v="2017-02-01T00:00:00"/>
    <d v="2017-02-01T00:00:00"/>
    <n v="1250000"/>
    <n v="42662.12"/>
    <n v="1"/>
    <s v="Ипотека"/>
    <s v="Квартира"/>
    <s v="Туймазинский"/>
    <x v="20"/>
    <s v="Комарова"/>
    <n v="5"/>
    <n v="2"/>
    <n v="2006"/>
  </r>
  <r>
    <x v="173"/>
    <x v="377"/>
    <s v="Договор купли-продажи"/>
    <d v="2017-02-01T00:00:00"/>
    <d v="2017-02-01T00:00:00"/>
    <n v="1250000"/>
    <n v="42662.12"/>
    <n v="1"/>
    <s v="Ипотека"/>
    <s v="Квартира"/>
    <s v="Туймазинский"/>
    <x v="20"/>
    <s v="Комарова"/>
    <n v="5"/>
    <n v="2"/>
    <n v="2006"/>
  </r>
  <r>
    <x v="181"/>
    <x v="419"/>
    <s v="Договор купли-продажи"/>
    <d v="2016-11-01T00:00:00"/>
    <d v="2016-11-01T00:00:00"/>
    <n v="2450000"/>
    <n v="42832.17"/>
    <n v="1"/>
    <s v="Ипотека"/>
    <s v="Квартира"/>
    <s v="Туймазинский"/>
    <x v="20"/>
    <s v="Чапаева"/>
    <n v="9"/>
    <n v="2"/>
    <n v="2016"/>
  </r>
  <r>
    <x v="181"/>
    <x v="419"/>
    <s v="Договор купли-продажи"/>
    <d v="2016-11-01T00:00:00"/>
    <d v="2016-11-01T00:00:00"/>
    <n v="2450000"/>
    <n v="42832.17"/>
    <n v="1"/>
    <s v="Ипотека"/>
    <s v="Квартира"/>
    <s v="Туймазинский"/>
    <x v="20"/>
    <s v="Чапаева"/>
    <n v="9"/>
    <n v="2"/>
    <n v="2016"/>
  </r>
  <r>
    <x v="173"/>
    <x v="420"/>
    <s v="Договор купли-продажи"/>
    <d v="2016-10-01T00:00:00"/>
    <d v="2016-10-01T00:00:00"/>
    <n v="1295000"/>
    <n v="43898.31"/>
    <n v="1"/>
    <s v="Ипотека"/>
    <s v="Квартира"/>
    <s v="Туймазинский"/>
    <x v="20"/>
    <s v="Ленина"/>
    <n v="1"/>
    <n v="2"/>
    <n v="2000"/>
  </r>
  <r>
    <x v="173"/>
    <x v="420"/>
    <s v="Договор купли-продажи"/>
    <d v="2016-10-01T00:00:00"/>
    <d v="2016-10-01T00:00:00"/>
    <n v="1295000"/>
    <n v="43898.31"/>
    <n v="1"/>
    <s v="Ипотека"/>
    <s v="Квартира"/>
    <s v="Туймазинский"/>
    <x v="20"/>
    <s v="Ленина"/>
    <n v="1"/>
    <n v="2"/>
    <n v="2000"/>
  </r>
  <r>
    <x v="182"/>
    <x v="58"/>
    <s v="Договор купли-продажи"/>
    <d v="2016-10-01T00:00:00"/>
    <d v="2016-10-01T00:00:00"/>
    <n v="1320000"/>
    <n v="44295.3"/>
    <n v="1"/>
    <s v="Ипотека"/>
    <s v="Квартира"/>
    <s v="Туймазинский"/>
    <x v="20"/>
    <m/>
    <n v="2"/>
    <n v="1"/>
    <n v="2002"/>
  </r>
  <r>
    <x v="171"/>
    <x v="178"/>
    <s v="Договор купли-продажи"/>
    <d v="2016-12-01T00:00:00"/>
    <d v="2016-12-01T00:00:00"/>
    <n v="1330000"/>
    <n v="44481.61"/>
    <n v="1"/>
    <s v="Ипотека"/>
    <s v="Квартира"/>
    <s v="Туймазинский"/>
    <x v="20"/>
    <m/>
    <n v="5"/>
    <n v="2"/>
    <n v="2011"/>
  </r>
  <r>
    <x v="171"/>
    <x v="178"/>
    <s v="Договор купли-продажи"/>
    <d v="2016-12-01T00:00:00"/>
    <d v="2016-12-01T00:00:00"/>
    <n v="1330000"/>
    <n v="44481.61"/>
    <n v="1"/>
    <s v="Ипотека"/>
    <s v="Квартира"/>
    <s v="Туймазинский"/>
    <x v="20"/>
    <m/>
    <n v="5"/>
    <n v="2"/>
    <n v="2011"/>
  </r>
  <r>
    <x v="188"/>
    <x v="360"/>
    <s v="Договор купли-продажи"/>
    <d v="2016-11-01T00:00:00"/>
    <d v="2016-12-01T00:00:00"/>
    <n v="1237288.1399999999"/>
    <n v="44506.77"/>
    <n v="1"/>
    <s v="Ипотека"/>
    <s v="Помещение"/>
    <s v="Туймазинский"/>
    <x v="20"/>
    <s v="Ленина"/>
    <n v="1"/>
    <n v="1"/>
    <n v="2015"/>
  </r>
  <r>
    <x v="202"/>
    <x v="33"/>
    <s v="Договор купли-продажи"/>
    <d v="2017-03-01T00:00:00"/>
    <d v="2017-03-01T00:00:00"/>
    <n v="2280000"/>
    <n v="44793.71"/>
    <n v="1"/>
    <s v="Ипотека"/>
    <s v="Квартира"/>
    <s v="Туймазинский"/>
    <x v="20"/>
    <s v="Гафурова"/>
    <n v="2"/>
    <n v="2"/>
    <n v="2014"/>
  </r>
  <r>
    <x v="202"/>
    <x v="33"/>
    <s v="Договор купли-продажи"/>
    <d v="2017-03-01T00:00:00"/>
    <d v="2017-03-01T00:00:00"/>
    <n v="2280000"/>
    <n v="44793.71"/>
    <n v="1"/>
    <s v="Ипотека"/>
    <s v="Квартира"/>
    <s v="Туймазинский"/>
    <x v="20"/>
    <s v="Гафурова"/>
    <n v="2"/>
    <n v="2"/>
    <n v="2014"/>
  </r>
  <r>
    <x v="211"/>
    <x v="345"/>
    <s v="Договор купли-продажи"/>
    <d v="2017-02-01T00:00:00"/>
    <d v="2017-02-01T00:00:00"/>
    <n v="1950000"/>
    <n v="45034.64"/>
    <n v="1"/>
    <s v="Ипотека"/>
    <s v="Квартира"/>
    <s v="Туймазинский"/>
    <x v="20"/>
    <m/>
    <n v="2"/>
    <n v="2"/>
    <n v="2003"/>
  </r>
  <r>
    <x v="211"/>
    <x v="345"/>
    <s v="Договор купли-продажи"/>
    <d v="2017-02-01T00:00:00"/>
    <d v="2017-02-01T00:00:00"/>
    <n v="1950000"/>
    <n v="45034.64"/>
    <n v="1"/>
    <s v="Ипотека"/>
    <s v="Квартира"/>
    <s v="Туймазинский"/>
    <x v="20"/>
    <m/>
    <n v="2"/>
    <n v="2"/>
    <n v="2003"/>
  </r>
  <r>
    <x v="171"/>
    <x v="25"/>
    <s v="Договор купли-продажи"/>
    <d v="2017-01-01T00:00:00"/>
    <d v="2017-01-01T00:00:00"/>
    <n v="1970000"/>
    <n v="45391.71"/>
    <n v="1"/>
    <s v="Ипотека"/>
    <s v="Квартира"/>
    <s v="Туймазинский"/>
    <x v="20"/>
    <s v="Комарова"/>
    <n v="3"/>
    <n v="1"/>
    <n v="2009"/>
  </r>
  <r>
    <x v="173"/>
    <x v="328"/>
    <s v="Договор купли-продажи"/>
    <d v="2016-12-01T00:00:00"/>
    <d v="2016-12-01T00:00:00"/>
    <n v="1900000"/>
    <n v="56047.199999999997"/>
    <n v="1"/>
    <s v="Ипотека"/>
    <s v="Квартира"/>
    <s v="Туймазинский"/>
    <x v="20"/>
    <s v="Комарова"/>
    <n v="2"/>
    <n v="1"/>
    <n v="2016"/>
  </r>
  <r>
    <x v="212"/>
    <x v="206"/>
    <s v="Договор купли-продажи"/>
    <d v="2017-03-01T00:00:00"/>
    <d v="2017-03-01T00:00:00"/>
    <n v="500000"/>
    <n v="10040.16"/>
    <n v="1"/>
    <s v="Ипотека"/>
    <s v="Квартира"/>
    <s v="Учалинский"/>
    <x v="21"/>
    <m/>
    <n v="3"/>
    <n v="1"/>
    <n v="2002"/>
  </r>
  <r>
    <x v="212"/>
    <x v="45"/>
    <s v="Договор купли-продажи"/>
    <d v="2017-01-01T00:00:00"/>
    <d v="2017-01-01T00:00:00"/>
    <n v="450000"/>
    <n v="10588.24"/>
    <n v="1"/>
    <s v="Ипотека"/>
    <s v="Квартира"/>
    <s v="Учалинский"/>
    <x v="21"/>
    <s v="Пионерская"/>
    <n v="2"/>
    <n v="1"/>
    <n v="2013"/>
  </r>
  <r>
    <x v="212"/>
    <x v="138"/>
    <s v="Договор купли-продажи"/>
    <d v="2016-10-01T00:00:00"/>
    <d v="2016-10-01T00:00:00"/>
    <n v="453026"/>
    <n v="10890.05"/>
    <n v="1"/>
    <s v="Ипотека"/>
    <s v="Квартира"/>
    <s v="Учалинский"/>
    <x v="21"/>
    <s v="Кирова"/>
    <n v="2"/>
    <n v="1"/>
    <n v="2010"/>
  </r>
  <r>
    <x v="213"/>
    <x v="111"/>
    <s v="Договор купли-продажи"/>
    <d v="2017-01-01T00:00:00"/>
    <d v="2017-01-01T00:00:00"/>
    <n v="650000"/>
    <n v="11016.95"/>
    <n v="1"/>
    <s v="Ипотека"/>
    <s v="Квартира"/>
    <s v="Учалинский"/>
    <x v="21"/>
    <s v="Ленина"/>
    <n v="5"/>
    <n v="1"/>
    <n v="2002"/>
  </r>
  <r>
    <x v="214"/>
    <x v="321"/>
    <s v="Договор купли-продажи"/>
    <d v="2017-01-01T00:00:00"/>
    <d v="2017-01-01T00:00:00"/>
    <n v="453026"/>
    <n v="13055.5"/>
    <n v="1"/>
    <s v="Ипотека"/>
    <s v="Квартира"/>
    <s v="Учалинский"/>
    <x v="21"/>
    <s v="Башкортостана"/>
    <n v="3"/>
    <n v="1"/>
    <n v="2002"/>
  </r>
  <r>
    <x v="213"/>
    <x v="292"/>
    <s v="Договор купли-продажи"/>
    <d v="2016-12-01T00:00:00"/>
    <d v="2016-12-01T00:00:00"/>
    <n v="1000000"/>
    <n v="13106.16"/>
    <n v="1"/>
    <s v="Ипотека"/>
    <s v="Квартира"/>
    <s v="Учалинский"/>
    <x v="21"/>
    <s v="Горького"/>
    <n v="4"/>
    <n v="2"/>
    <n v="2007"/>
  </r>
  <r>
    <x v="213"/>
    <x v="292"/>
    <s v="Договор купли-продажи"/>
    <d v="2016-12-01T00:00:00"/>
    <d v="2016-12-01T00:00:00"/>
    <n v="1000000"/>
    <n v="13106.16"/>
    <n v="1"/>
    <s v="Ипотека"/>
    <s v="Квартира"/>
    <s v="Учалинский"/>
    <x v="21"/>
    <s v="Горького"/>
    <n v="4"/>
    <n v="2"/>
    <n v="2007"/>
  </r>
  <r>
    <x v="215"/>
    <x v="19"/>
    <s v="Договор купли-продажи"/>
    <d v="2016-12-01T00:00:00"/>
    <d v="2016-12-01T00:00:00"/>
    <n v="453030"/>
    <n v="14113.08"/>
    <n v="1"/>
    <s v="Ипотека"/>
    <s v="Квартира"/>
    <s v="Учалинский"/>
    <x v="21"/>
    <s v="Мира"/>
    <n v="2"/>
    <n v="1"/>
    <n v="2010"/>
  </r>
  <r>
    <x v="212"/>
    <x v="372"/>
    <s v="Договор купли-продажи"/>
    <d v="2017-03-01T00:00:00"/>
    <d v="2017-03-01T00:00:00"/>
    <n v="453030"/>
    <n v="14473.8"/>
    <n v="1"/>
    <s v="Ипотека"/>
    <s v="Квартира"/>
    <s v="Учалинский"/>
    <x v="21"/>
    <s v="Кирова"/>
    <n v="1"/>
    <n v="1"/>
    <n v="2004"/>
  </r>
  <r>
    <x v="214"/>
    <x v="421"/>
    <s v="Договор купли-продажи"/>
    <d v="2016-10-01T00:00:00"/>
    <d v="2016-10-01T00:00:00"/>
    <n v="453026"/>
    <n v="14853.31"/>
    <n v="1"/>
    <s v="Ипотека"/>
    <s v="Квартира"/>
    <s v="Учалинский"/>
    <x v="21"/>
    <s v="Башкортостана"/>
    <n v="2"/>
    <n v="1"/>
    <n v="2008"/>
  </r>
  <r>
    <x v="212"/>
    <x v="422"/>
    <s v="Договор купли-продажи"/>
    <d v="2017-01-01T00:00:00"/>
    <d v="2017-01-01T00:00:00"/>
    <n v="500000"/>
    <n v="16025.64"/>
    <n v="1"/>
    <s v="Ипотека"/>
    <s v="Квартира"/>
    <s v="Учалинский"/>
    <x v="21"/>
    <s v="Кирова"/>
    <n v="4"/>
    <n v="1"/>
    <n v="2015"/>
  </r>
  <r>
    <x v="213"/>
    <x v="109"/>
    <s v="Договор купли-продажи"/>
    <d v="2016-11-01T00:00:00"/>
    <d v="2016-11-01T00:00:00"/>
    <n v="850000"/>
    <n v="16765.29"/>
    <n v="1"/>
    <s v="Ипотека"/>
    <s v="Квартира"/>
    <s v="Учалинский"/>
    <x v="21"/>
    <s v="Ленина"/>
    <n v="1"/>
    <n v="2"/>
    <n v="2003"/>
  </r>
  <r>
    <x v="213"/>
    <x v="109"/>
    <s v="Договор купли-продажи"/>
    <d v="2016-11-01T00:00:00"/>
    <d v="2016-11-01T00:00:00"/>
    <n v="850000"/>
    <n v="16765.29"/>
    <n v="1"/>
    <s v="Ипотека"/>
    <s v="Квартира"/>
    <s v="Учалинский"/>
    <x v="21"/>
    <s v="Ленина"/>
    <n v="1"/>
    <n v="2"/>
    <n v="2003"/>
  </r>
  <r>
    <x v="214"/>
    <x v="132"/>
    <s v="Договор купли-продажи"/>
    <d v="2017-03-01T00:00:00"/>
    <d v="2017-03-01T00:00:00"/>
    <n v="510000"/>
    <n v="16776.32"/>
    <n v="1"/>
    <s v="Ипотека"/>
    <s v="Квартира"/>
    <s v="Учалинский"/>
    <x v="21"/>
    <m/>
    <n v="2"/>
    <n v="1"/>
    <n v="2015"/>
  </r>
  <r>
    <x v="214"/>
    <x v="45"/>
    <s v="Договор купли-продажи"/>
    <d v="2017-03-01T00:00:00"/>
    <d v="2017-03-01T00:00:00"/>
    <n v="720000"/>
    <n v="16941.18"/>
    <n v="1"/>
    <s v="Ипотека"/>
    <s v="Квартира"/>
    <s v="Учалинский"/>
    <x v="21"/>
    <s v="Башкортостана"/>
    <n v="2"/>
    <n v="1"/>
    <n v="2016"/>
  </r>
  <r>
    <x v="214"/>
    <x v="151"/>
    <s v="Договор купли-продажи"/>
    <d v="2017-02-01T00:00:00"/>
    <d v="2017-03-01T00:00:00"/>
    <n v="1000000"/>
    <n v="17182.13"/>
    <n v="1"/>
    <s v="Ипотека"/>
    <s v="Квартира"/>
    <s v="Учалинский"/>
    <x v="21"/>
    <s v="Ленина"/>
    <n v="2"/>
    <n v="1"/>
    <n v="2001"/>
  </r>
  <r>
    <x v="216"/>
    <x v="346"/>
    <s v="Договор купли-продажи"/>
    <d v="2016-12-01T00:00:00"/>
    <d v="2016-12-01T00:00:00"/>
    <n v="643914"/>
    <n v="17689.95"/>
    <n v="1"/>
    <s v="Ипотека"/>
    <s v="Квартира"/>
    <s v="Учалинский"/>
    <x v="21"/>
    <m/>
    <n v="2"/>
    <n v="1"/>
    <n v="2016"/>
  </r>
  <r>
    <x v="215"/>
    <x v="423"/>
    <s v="Договор купли-продажи"/>
    <d v="2016-11-01T00:00:00"/>
    <d v="2016-11-01T00:00:00"/>
    <n v="700000"/>
    <n v="18276.759999999998"/>
    <n v="1"/>
    <s v="Ипотека"/>
    <s v="Квартира"/>
    <s v="Учалинский"/>
    <x v="21"/>
    <s v="Горького"/>
    <n v="2"/>
    <n v="1"/>
    <n v="2011"/>
  </r>
  <r>
    <x v="212"/>
    <x v="160"/>
    <s v="Договор купли-продажи"/>
    <d v="2017-01-01T00:00:00"/>
    <d v="2017-01-01T00:00:00"/>
    <n v="900000"/>
    <n v="18750"/>
    <n v="1"/>
    <s v="Ипотека"/>
    <s v="Квартира"/>
    <s v="Учалинский"/>
    <x v="21"/>
    <m/>
    <n v="2"/>
    <n v="1"/>
    <n v="2007"/>
  </r>
  <r>
    <x v="212"/>
    <x v="416"/>
    <s v="Договор купли-продажи"/>
    <d v="2017-01-01T00:00:00"/>
    <d v="2017-01-01T00:00:00"/>
    <n v="919000"/>
    <n v="18870.64"/>
    <n v="1"/>
    <s v="Ипотека"/>
    <s v="Квартира"/>
    <s v="Учалинский"/>
    <x v="21"/>
    <m/>
    <n v="4"/>
    <n v="2"/>
    <n v="2008"/>
  </r>
  <r>
    <x v="212"/>
    <x v="416"/>
    <s v="Договор купли-продажи"/>
    <d v="2017-01-01T00:00:00"/>
    <d v="2017-01-01T00:00:00"/>
    <n v="919000"/>
    <n v="18870.64"/>
    <n v="1"/>
    <s v="Ипотека"/>
    <s v="Квартира"/>
    <s v="Учалинский"/>
    <x v="21"/>
    <m/>
    <n v="4"/>
    <n v="2"/>
    <n v="2008"/>
  </r>
  <r>
    <x v="217"/>
    <x v="230"/>
    <s v="Договор купли-продажи"/>
    <d v="2016-11-01T00:00:00"/>
    <d v="2016-11-01T00:00:00"/>
    <n v="1200000"/>
    <n v="20304.57"/>
    <n v="1"/>
    <s v="Ипотека"/>
    <s v="Помещение"/>
    <s v="Учалинский"/>
    <x v="21"/>
    <s v="Ахметгалина"/>
    <n v="4"/>
    <n v="2"/>
    <n v="2007"/>
  </r>
  <r>
    <x v="217"/>
    <x v="230"/>
    <s v="Договор купли-продажи"/>
    <d v="2016-11-01T00:00:00"/>
    <d v="2016-11-01T00:00:00"/>
    <n v="1200000"/>
    <n v="20304.57"/>
    <n v="1"/>
    <s v="Ипотека"/>
    <s v="Помещение"/>
    <s v="Учалинский"/>
    <x v="21"/>
    <s v="Ахметгалина"/>
    <n v="4"/>
    <n v="2"/>
    <n v="2007"/>
  </r>
  <r>
    <x v="212"/>
    <x v="251"/>
    <s v="Договор купли-продажи"/>
    <d v="2016-11-01T00:00:00"/>
    <d v="2016-11-01T00:00:00"/>
    <n v="940000"/>
    <n v="20982.14"/>
    <n v="1"/>
    <s v="Ипотека"/>
    <s v="Квартира"/>
    <s v="Учалинский"/>
    <x v="21"/>
    <s v="Муртазина"/>
    <n v="3"/>
    <n v="2"/>
    <n v="2001"/>
  </r>
  <r>
    <x v="212"/>
    <x v="251"/>
    <s v="Договор купли-продажи"/>
    <d v="2016-11-01T00:00:00"/>
    <d v="2016-11-01T00:00:00"/>
    <n v="940000"/>
    <n v="20982.14"/>
    <n v="1"/>
    <s v="Ипотека"/>
    <s v="Квартира"/>
    <s v="Учалинский"/>
    <x v="21"/>
    <s v="Муртазина"/>
    <n v="3"/>
    <n v="2"/>
    <n v="2001"/>
  </r>
  <r>
    <x v="212"/>
    <x v="203"/>
    <s v="Договор купли-продажи"/>
    <d v="2017-03-01T00:00:00"/>
    <d v="2017-03-01T00:00:00"/>
    <n v="1300000"/>
    <n v="21103.9"/>
    <n v="1"/>
    <s v="Ипотека"/>
    <s v="Квартира"/>
    <s v="Учалинский"/>
    <x v="21"/>
    <s v="Ленина"/>
    <n v="5"/>
    <n v="1"/>
    <n v="2005"/>
  </r>
  <r>
    <x v="218"/>
    <x v="123"/>
    <s v="Договор купли-продажи"/>
    <d v="2016-12-01T00:00:00"/>
    <d v="2016-12-01T00:00:00"/>
    <n v="1000000"/>
    <n v="21645.02"/>
    <n v="1"/>
    <s v="Ипотека"/>
    <s v="Квартира"/>
    <s v="Учалинский"/>
    <x v="21"/>
    <s v="Имангуловская"/>
    <n v="1"/>
    <n v="1"/>
    <n v="2002"/>
  </r>
  <r>
    <x v="215"/>
    <x v="6"/>
    <s v="Договор купли-продажи"/>
    <d v="2017-03-01T00:00:00"/>
    <d v="2017-03-01T00:00:00"/>
    <n v="800000"/>
    <n v="21857.919999999998"/>
    <n v="1"/>
    <s v="Ипотека"/>
    <s v="Квартира"/>
    <s v="Учалинский"/>
    <x v="21"/>
    <s v="Мира"/>
    <n v="1"/>
    <n v="1"/>
    <n v="2013"/>
  </r>
  <r>
    <x v="215"/>
    <x v="35"/>
    <s v="Договор купли-продажи"/>
    <d v="2017-01-01T00:00:00"/>
    <d v="2017-01-01T00:00:00"/>
    <n v="750000"/>
    <n v="22658.61"/>
    <n v="1"/>
    <s v="Ипотека"/>
    <s v="Квартира"/>
    <s v="Учалинский"/>
    <x v="21"/>
    <s v="Мира"/>
    <n v="5"/>
    <n v="1"/>
    <n v="2007"/>
  </r>
  <r>
    <x v="213"/>
    <x v="46"/>
    <s v="Договор купли-продажи"/>
    <d v="2016-11-01T00:00:00"/>
    <d v="2016-11-01T00:00:00"/>
    <n v="757000"/>
    <n v="23079.27"/>
    <n v="1"/>
    <s v="Ипотека"/>
    <s v="Квартира"/>
    <s v="Учалинский"/>
    <x v="21"/>
    <m/>
    <n v="4"/>
    <n v="1"/>
    <n v="2003"/>
  </r>
  <r>
    <x v="214"/>
    <x v="178"/>
    <s v="Договор купли-продажи"/>
    <d v="2016-12-01T00:00:00"/>
    <d v="2016-12-01T00:00:00"/>
    <n v="700229"/>
    <n v="23419.03"/>
    <n v="1"/>
    <s v="Ипотека"/>
    <s v="Квартира"/>
    <s v="Учалинский"/>
    <x v="21"/>
    <s v="Ленина"/>
    <n v="4"/>
    <n v="1"/>
    <n v="2000"/>
  </r>
  <r>
    <x v="212"/>
    <x v="147"/>
    <s v="Договор купли-продажи"/>
    <d v="2017-01-01T00:00:00"/>
    <d v="2017-02-01T00:00:00"/>
    <n v="800000"/>
    <n v="24767.8"/>
    <n v="1"/>
    <s v="Ипотека"/>
    <s v="Квартира"/>
    <s v="Учалинский"/>
    <x v="21"/>
    <s v="Мира"/>
    <n v="5"/>
    <n v="1"/>
    <n v="2003"/>
  </r>
  <r>
    <x v="212"/>
    <x v="58"/>
    <s v="Договор купли-продажи"/>
    <d v="2017-01-01T00:00:00"/>
    <d v="2017-01-01T00:00:00"/>
    <n v="750000"/>
    <n v="25167.79"/>
    <n v="1"/>
    <s v="Ипотека"/>
    <s v="Квартира"/>
    <s v="Учалинский"/>
    <x v="21"/>
    <s v="50 лет Октября"/>
    <n v="3"/>
    <n v="1"/>
    <n v="2014"/>
  </r>
  <r>
    <x v="213"/>
    <x v="424"/>
    <s v="Договор купли-продажи"/>
    <d v="2017-03-01T00:00:00"/>
    <d v="2017-03-01T00:00:00"/>
    <n v="850000"/>
    <n v="25373.13"/>
    <n v="1"/>
    <s v="Ипотека"/>
    <s v="Квартира"/>
    <s v="Учалинский"/>
    <x v="21"/>
    <m/>
    <n v="4"/>
    <n v="1"/>
    <n v="2004"/>
  </r>
  <r>
    <x v="212"/>
    <x v="151"/>
    <s v="Договор купли-продажи"/>
    <d v="2016-11-01T00:00:00"/>
    <d v="2016-11-01T00:00:00"/>
    <n v="1500000"/>
    <n v="25773.200000000001"/>
    <n v="1"/>
    <s v="Ипотека"/>
    <s v="Квартира"/>
    <s v="Учалинский"/>
    <x v="21"/>
    <s v="Первостроителей"/>
    <n v="2"/>
    <n v="2"/>
    <n v="2007"/>
  </r>
  <r>
    <x v="212"/>
    <x v="151"/>
    <s v="Договор купли-продажи"/>
    <d v="2016-11-01T00:00:00"/>
    <d v="2016-11-01T00:00:00"/>
    <n v="1500000"/>
    <n v="25773.200000000001"/>
    <n v="1"/>
    <s v="Ипотека"/>
    <s v="Квартира"/>
    <s v="Учалинский"/>
    <x v="21"/>
    <s v="Первостроителей"/>
    <n v="2"/>
    <n v="2"/>
    <n v="2007"/>
  </r>
  <r>
    <x v="216"/>
    <x v="175"/>
    <s v="Договор купли-продажи"/>
    <d v="2017-02-01T00:00:00"/>
    <d v="2017-03-01T00:00:00"/>
    <n v="860000"/>
    <n v="26461.54"/>
    <n v="1"/>
    <s v="Ипотека"/>
    <s v="Квартира"/>
    <s v="Учалинский"/>
    <x v="21"/>
    <s v="Горького"/>
    <n v="1"/>
    <n v="1"/>
    <n v="2015"/>
  </r>
  <r>
    <x v="214"/>
    <x v="8"/>
    <s v="Договор купли-продажи"/>
    <d v="2017-01-01T00:00:00"/>
    <d v="2017-01-01T00:00:00"/>
    <n v="1240000"/>
    <n v="26609.439999999999"/>
    <n v="1"/>
    <s v="Ипотека"/>
    <s v="Квартира"/>
    <s v="Учалинский"/>
    <x v="21"/>
    <s v="Горького"/>
    <n v="3"/>
    <n v="1"/>
    <n v="2002"/>
  </r>
  <r>
    <x v="212"/>
    <x v="32"/>
    <s v="Договор купли-продажи"/>
    <d v="2017-03-01T00:00:00"/>
    <d v="2017-03-01T00:00:00"/>
    <n v="1200000"/>
    <n v="27459.95"/>
    <n v="1"/>
    <s v="Ипотека"/>
    <s v="Квартира"/>
    <s v="Учалинский"/>
    <x v="21"/>
    <s v="Муртазина"/>
    <n v="2"/>
    <n v="1"/>
    <n v="2007"/>
  </r>
  <r>
    <x v="214"/>
    <x v="33"/>
    <s v="Договор купли-продажи"/>
    <d v="2016-12-01T00:00:00"/>
    <d v="2016-12-01T00:00:00"/>
    <n v="1400000"/>
    <n v="27504.91"/>
    <n v="1"/>
    <s v="Ипотека"/>
    <s v="Квартира"/>
    <s v="Учалинский"/>
    <x v="21"/>
    <m/>
    <n v="5"/>
    <n v="1"/>
    <n v="2002"/>
  </r>
  <r>
    <x v="212"/>
    <x v="25"/>
    <s v="Договор купли-продажи"/>
    <d v="2016-11-01T00:00:00"/>
    <d v="2016-11-01T00:00:00"/>
    <n v="1200000"/>
    <n v="27649.77"/>
    <n v="1"/>
    <s v="Ипотека"/>
    <s v="Квартира"/>
    <s v="Учалинский"/>
    <x v="21"/>
    <s v="Кирова"/>
    <n v="1"/>
    <n v="1"/>
    <n v="2000"/>
  </r>
  <r>
    <x v="216"/>
    <x v="259"/>
    <s v="Договор купли-продажи"/>
    <d v="2016-12-01T00:00:00"/>
    <d v="2016-12-01T00:00:00"/>
    <n v="1470000"/>
    <n v="27735.85"/>
    <n v="1"/>
    <s v="Ипотека"/>
    <s v="Квартира"/>
    <s v="Учалинский"/>
    <x v="21"/>
    <m/>
    <n v="4"/>
    <n v="1"/>
    <n v="2016"/>
  </r>
  <r>
    <x v="219"/>
    <x v="36"/>
    <s v="Договор купли-продажи"/>
    <d v="2017-03-01T00:00:00"/>
    <d v="2017-03-01T00:00:00"/>
    <n v="928000"/>
    <n v="27784.43"/>
    <n v="1"/>
    <s v="Ипотека"/>
    <s v="Квартира"/>
    <s v="Учалинский"/>
    <x v="21"/>
    <s v="Ленина"/>
    <n v="5"/>
    <n v="1"/>
    <n v="2006"/>
  </r>
  <r>
    <x v="213"/>
    <x v="416"/>
    <s v="Договор купли-продажи"/>
    <d v="2016-12-01T00:00:00"/>
    <d v="2016-12-01T00:00:00"/>
    <n v="1360000"/>
    <n v="27926.080000000002"/>
    <n v="1"/>
    <s v="Ипотека"/>
    <s v="Квартира"/>
    <s v="Учалинский"/>
    <x v="21"/>
    <s v="Горького"/>
    <n v="1"/>
    <n v="1"/>
    <n v="2001"/>
  </r>
  <r>
    <x v="212"/>
    <x v="65"/>
    <s v="Договор купли-продажи"/>
    <d v="2016-12-01T00:00:00"/>
    <d v="2016-12-01T00:00:00"/>
    <n v="1150000"/>
    <n v="28117.360000000001"/>
    <n v="1"/>
    <s v="Ипотека"/>
    <s v="Квартира"/>
    <s v="Учалинский"/>
    <x v="21"/>
    <s v="Мира"/>
    <n v="5"/>
    <n v="1"/>
    <n v="2016"/>
  </r>
  <r>
    <x v="214"/>
    <x v="425"/>
    <s v="Договор купли-продажи"/>
    <d v="2016-12-01T00:00:00"/>
    <d v="2016-12-01T00:00:00"/>
    <n v="1250000"/>
    <n v="28153.15"/>
    <n v="1"/>
    <s v="Ипотека"/>
    <s v="Квартира"/>
    <s v="Учалинский"/>
    <x v="21"/>
    <s v="Ахметгалина"/>
    <n v="5"/>
    <n v="2"/>
    <n v="2000"/>
  </r>
  <r>
    <x v="214"/>
    <x v="425"/>
    <s v="Договор купли-продажи"/>
    <d v="2016-12-01T00:00:00"/>
    <d v="2016-12-01T00:00:00"/>
    <n v="1250000"/>
    <n v="28153.15"/>
    <n v="1"/>
    <s v="Ипотека"/>
    <s v="Квартира"/>
    <s v="Учалинский"/>
    <x v="21"/>
    <s v="Ахметгалина"/>
    <n v="5"/>
    <n v="2"/>
    <n v="2000"/>
  </r>
  <r>
    <x v="214"/>
    <x v="392"/>
    <s v="Договор купли-продажи"/>
    <d v="2016-12-01T00:00:00"/>
    <d v="2016-12-01T00:00:00"/>
    <n v="1440000"/>
    <n v="28235.29"/>
    <n v="1"/>
    <s v="Ипотека"/>
    <s v="Квартира"/>
    <s v="Учалинский"/>
    <x v="21"/>
    <s v="Ахметгалина"/>
    <n v="5"/>
    <n v="2"/>
    <n v="2016"/>
  </r>
  <r>
    <x v="214"/>
    <x v="392"/>
    <s v="Договор купли-продажи"/>
    <d v="2016-12-01T00:00:00"/>
    <d v="2016-12-01T00:00:00"/>
    <n v="1440000"/>
    <n v="28235.29"/>
    <n v="1"/>
    <s v="Ипотека"/>
    <s v="Квартира"/>
    <s v="Учалинский"/>
    <x v="21"/>
    <s v="Ахметгалина"/>
    <n v="5"/>
    <n v="2"/>
    <n v="2016"/>
  </r>
  <r>
    <x v="218"/>
    <x v="306"/>
    <s v="Договор купли-продажи"/>
    <d v="2016-10-01T00:00:00"/>
    <d v="2016-10-01T00:00:00"/>
    <n v="1000000"/>
    <n v="28490.03"/>
    <n v="1"/>
    <s v="Ипотека"/>
    <s v="Квартира"/>
    <s v="Учалинский"/>
    <x v="21"/>
    <s v="Новая"/>
    <n v="4"/>
    <n v="1"/>
    <n v="2014"/>
  </r>
  <r>
    <x v="212"/>
    <x v="244"/>
    <s v="Договор купли-продажи"/>
    <d v="2016-11-01T00:00:00"/>
    <d v="2016-11-01T00:00:00"/>
    <n v="1680000"/>
    <n v="28620.1"/>
    <n v="1"/>
    <s v="Ипотека"/>
    <s v="Квартира"/>
    <s v="Учалинский"/>
    <x v="21"/>
    <s v="Сибайская"/>
    <n v="4"/>
    <n v="2"/>
    <n v="2006"/>
  </r>
  <r>
    <x v="212"/>
    <x v="244"/>
    <s v="Договор купли-продажи"/>
    <d v="2016-11-01T00:00:00"/>
    <d v="2016-11-01T00:00:00"/>
    <n v="1680000"/>
    <n v="28620.1"/>
    <n v="1"/>
    <s v="Ипотека"/>
    <s v="Квартира"/>
    <s v="Учалинский"/>
    <x v="21"/>
    <s v="Сибайская"/>
    <n v="4"/>
    <n v="2"/>
    <n v="2006"/>
  </r>
  <r>
    <x v="212"/>
    <x v="320"/>
    <s v="Договор купли-продажи"/>
    <d v="2016-12-01T00:00:00"/>
    <d v="2016-12-01T00:00:00"/>
    <n v="1160000"/>
    <n v="28855.72"/>
    <n v="1"/>
    <s v="Ипотека"/>
    <s v="Квартира"/>
    <s v="Учалинский"/>
    <x v="21"/>
    <s v="Мира"/>
    <n v="1"/>
    <n v="1"/>
    <n v="2005"/>
  </r>
  <r>
    <x v="216"/>
    <x v="407"/>
    <s v="Договор купли-продажи"/>
    <d v="2017-03-01T00:00:00"/>
    <d v="2017-03-01T00:00:00"/>
    <n v="1064000"/>
    <n v="28913.040000000001"/>
    <n v="1"/>
    <s v="Ипотека"/>
    <s v="Квартира"/>
    <s v="Учалинский"/>
    <x v="21"/>
    <m/>
    <n v="3"/>
    <n v="1"/>
    <n v="2016"/>
  </r>
  <r>
    <x v="218"/>
    <x v="263"/>
    <s v="Договор купли-продажи"/>
    <d v="2016-12-01T00:00:00"/>
    <d v="2016-12-01T00:00:00"/>
    <n v="1600000"/>
    <n v="29906.54"/>
    <n v="1"/>
    <s v="Ипотека"/>
    <s v="Квартира"/>
    <s v="Учалинский"/>
    <x v="21"/>
    <s v="Новая"/>
    <n v="4"/>
    <n v="2"/>
    <n v="2014"/>
  </r>
  <r>
    <x v="218"/>
    <x v="263"/>
    <s v="Договор купли-продажи"/>
    <d v="2016-12-01T00:00:00"/>
    <d v="2016-12-01T00:00:00"/>
    <n v="1600000"/>
    <n v="29906.54"/>
    <n v="1"/>
    <s v="Ипотека"/>
    <s v="Квартира"/>
    <s v="Учалинский"/>
    <x v="21"/>
    <s v="Новая"/>
    <n v="4"/>
    <n v="2"/>
    <n v="2014"/>
  </r>
  <r>
    <x v="214"/>
    <x v="339"/>
    <s v="Договор купли-продажи"/>
    <d v="2016-12-01T00:00:00"/>
    <d v="2016-12-01T00:00:00"/>
    <n v="1750000"/>
    <n v="29914.53"/>
    <n v="1"/>
    <s v="Ипотека"/>
    <s v="Квартира"/>
    <s v="Учалинский"/>
    <x v="21"/>
    <s v="Башкортостана"/>
    <n v="1"/>
    <n v="2"/>
    <n v="2002"/>
  </r>
  <r>
    <x v="214"/>
    <x v="339"/>
    <s v="Договор купли-продажи"/>
    <d v="2016-12-01T00:00:00"/>
    <d v="2016-12-01T00:00:00"/>
    <n v="1750000"/>
    <n v="29914.53"/>
    <n v="1"/>
    <s v="Ипотека"/>
    <s v="Квартира"/>
    <s v="Учалинский"/>
    <x v="21"/>
    <s v="Башкортостана"/>
    <n v="1"/>
    <n v="2"/>
    <n v="2002"/>
  </r>
  <r>
    <x v="214"/>
    <x v="71"/>
    <s v="Договор купли-продажи"/>
    <d v="2017-01-01T00:00:00"/>
    <d v="2017-01-01T00:00:00"/>
    <n v="900000"/>
    <n v="30303.03"/>
    <n v="1"/>
    <s v="Ипотека"/>
    <s v="Квартира"/>
    <s v="Учалинский"/>
    <x v="21"/>
    <s v="Башкортостана"/>
    <n v="2"/>
    <n v="1"/>
    <n v="2001"/>
  </r>
  <r>
    <x v="213"/>
    <x v="371"/>
    <s v="Договор купли-продажи"/>
    <d v="2016-10-01T00:00:00"/>
    <d v="2016-10-01T00:00:00"/>
    <n v="1440000"/>
    <n v="30315.79"/>
    <n v="1"/>
    <s v="Ипотека"/>
    <s v="Квартира"/>
    <s v="Учалинский"/>
    <x v="21"/>
    <s v="Ленина"/>
    <n v="3"/>
    <n v="2"/>
    <n v="2010"/>
  </r>
  <r>
    <x v="213"/>
    <x v="371"/>
    <s v="Договор купли-продажи"/>
    <d v="2016-10-01T00:00:00"/>
    <d v="2016-10-01T00:00:00"/>
    <n v="1440000"/>
    <n v="30315.79"/>
    <n v="1"/>
    <s v="Ипотека"/>
    <s v="Квартира"/>
    <s v="Учалинский"/>
    <x v="21"/>
    <s v="Ленина"/>
    <n v="3"/>
    <n v="2"/>
    <n v="2010"/>
  </r>
  <r>
    <x v="213"/>
    <x v="426"/>
    <s v="Договор купли-продажи"/>
    <d v="2016-12-01T00:00:00"/>
    <d v="2016-12-01T00:00:00"/>
    <n v="2340000"/>
    <n v="30350.19"/>
    <n v="1"/>
    <s v="Ипотека"/>
    <s v="Квартира"/>
    <s v="Учалинский"/>
    <x v="21"/>
    <s v="Горького"/>
    <n v="4"/>
    <n v="2"/>
    <n v="2002"/>
  </r>
  <r>
    <x v="213"/>
    <x v="426"/>
    <s v="Договор купли-продажи"/>
    <d v="2016-12-01T00:00:00"/>
    <d v="2016-12-01T00:00:00"/>
    <n v="2340000"/>
    <n v="30350.19"/>
    <n v="1"/>
    <s v="Ипотека"/>
    <s v="Квартира"/>
    <s v="Учалинский"/>
    <x v="21"/>
    <s v="Горького"/>
    <n v="4"/>
    <n v="2"/>
    <n v="2002"/>
  </r>
  <r>
    <x v="215"/>
    <x v="252"/>
    <s v="Договор купли-продажи"/>
    <d v="2016-11-01T00:00:00"/>
    <d v="2016-12-01T00:00:00"/>
    <n v="1600000"/>
    <n v="30710.17"/>
    <n v="1"/>
    <s v="Ипотека"/>
    <s v="Квартира"/>
    <s v="Учалинский"/>
    <x v="21"/>
    <s v="Горького"/>
    <n v="3"/>
    <n v="1"/>
    <n v="2013"/>
  </r>
  <r>
    <x v="214"/>
    <x v="235"/>
    <s v="Договор купли-продажи"/>
    <d v="2017-02-01T00:00:00"/>
    <d v="2017-02-01T00:00:00"/>
    <n v="1785000"/>
    <n v="30775.86"/>
    <n v="1"/>
    <s v="Ипотека"/>
    <s v="Квартира"/>
    <s v="Учалинский"/>
    <x v="21"/>
    <s v="Ахметгалина"/>
    <n v="4"/>
    <n v="2"/>
    <n v="2017"/>
  </r>
  <r>
    <x v="214"/>
    <x v="235"/>
    <s v="Договор купли-продажи"/>
    <d v="2017-02-01T00:00:00"/>
    <d v="2017-02-01T00:00:00"/>
    <n v="1785000"/>
    <n v="30775.86"/>
    <n v="1"/>
    <s v="Ипотека"/>
    <s v="Квартира"/>
    <s v="Учалинский"/>
    <x v="21"/>
    <s v="Ахметгалина"/>
    <n v="4"/>
    <n v="2"/>
    <n v="2017"/>
  </r>
  <r>
    <x v="213"/>
    <x v="413"/>
    <s v="Договор купли-продажи"/>
    <d v="2017-01-01T00:00:00"/>
    <d v="2017-01-01T00:00:00"/>
    <n v="1040000"/>
    <n v="30860.53"/>
    <n v="1"/>
    <s v="Ипотека"/>
    <s v="Квартира"/>
    <s v="Учалинский"/>
    <x v="21"/>
    <m/>
    <n v="3"/>
    <n v="1"/>
    <n v="2009"/>
  </r>
  <r>
    <x v="212"/>
    <x v="71"/>
    <s v="Договор купли-продажи"/>
    <d v="2016-12-01T00:00:00"/>
    <d v="2016-12-01T00:00:00"/>
    <n v="920000"/>
    <n v="30976.43"/>
    <n v="1"/>
    <s v="Ипотека"/>
    <s v="Квартира"/>
    <s v="Учалинский"/>
    <x v="21"/>
    <s v="Кирова"/>
    <n v="4"/>
    <n v="1"/>
    <n v="2000"/>
  </r>
  <r>
    <x v="212"/>
    <x v="159"/>
    <s v="Договор купли-продажи"/>
    <d v="2016-12-01T00:00:00"/>
    <d v="2016-12-01T00:00:00"/>
    <n v="1550000"/>
    <n v="31000"/>
    <n v="1"/>
    <s v="Ипотека"/>
    <s v="Квартира"/>
    <s v="Учалинский"/>
    <x v="21"/>
    <s v="Первостроителей"/>
    <n v="6"/>
    <n v="2"/>
    <n v="2005"/>
  </r>
  <r>
    <x v="212"/>
    <x v="159"/>
    <s v="Договор купли-продажи"/>
    <d v="2016-12-01T00:00:00"/>
    <d v="2016-12-01T00:00:00"/>
    <n v="1550000"/>
    <n v="31000"/>
    <n v="1"/>
    <s v="Ипотека"/>
    <s v="Квартира"/>
    <s v="Учалинский"/>
    <x v="21"/>
    <s v="Первостроителей"/>
    <n v="6"/>
    <n v="2"/>
    <n v="2005"/>
  </r>
  <r>
    <x v="213"/>
    <x v="19"/>
    <s v="Договор купли-продажи"/>
    <d v="2016-12-01T00:00:00"/>
    <d v="2016-12-01T00:00:00"/>
    <n v="1000000"/>
    <n v="31152.65"/>
    <n v="1"/>
    <s v="Ипотека"/>
    <s v="Квартира"/>
    <s v="Учалинский"/>
    <x v="21"/>
    <s v="Ленина"/>
    <n v="4"/>
    <n v="1"/>
    <n v="2015"/>
  </r>
  <r>
    <x v="214"/>
    <x v="213"/>
    <s v="Договор купли-продажи"/>
    <d v="2017-03-01T00:00:00"/>
    <d v="2017-03-01T00:00:00"/>
    <n v="1800000"/>
    <n v="31195.84"/>
    <n v="1"/>
    <s v="Ипотека"/>
    <s v="Квартира"/>
    <s v="Учалинский"/>
    <x v="21"/>
    <m/>
    <n v="5"/>
    <n v="2"/>
    <n v="2002"/>
  </r>
  <r>
    <x v="214"/>
    <x v="213"/>
    <s v="Договор купли-продажи"/>
    <d v="2017-03-01T00:00:00"/>
    <d v="2017-03-01T00:00:00"/>
    <n v="1800000"/>
    <n v="31195.84"/>
    <n v="1"/>
    <s v="Ипотека"/>
    <s v="Квартира"/>
    <s v="Учалинский"/>
    <x v="21"/>
    <m/>
    <n v="5"/>
    <n v="2"/>
    <n v="2002"/>
  </r>
  <r>
    <x v="216"/>
    <x v="427"/>
    <s v="Договор купли-продажи"/>
    <d v="2016-11-01T00:00:00"/>
    <d v="2016-11-01T00:00:00"/>
    <n v="1900000"/>
    <n v="31198.69"/>
    <n v="1"/>
    <s v="Ипотека"/>
    <s v="Квартира"/>
    <s v="Учалинский"/>
    <x v="21"/>
    <m/>
    <n v="3"/>
    <n v="1"/>
    <n v="2015"/>
  </r>
  <r>
    <x v="213"/>
    <x v="420"/>
    <s v="Договор купли-продажи"/>
    <d v="2017-03-01T00:00:00"/>
    <d v="2017-03-01T00:00:00"/>
    <n v="947000"/>
    <n v="32101.69"/>
    <n v="1"/>
    <s v="Ипотека"/>
    <s v="Помещение"/>
    <s v="Учалинский"/>
    <x v="21"/>
    <s v="Ленина"/>
    <n v="1"/>
    <n v="1"/>
    <n v="2002"/>
  </r>
  <r>
    <x v="215"/>
    <x v="48"/>
    <s v="Договор купли-продажи"/>
    <d v="2017-01-01T00:00:00"/>
    <d v="2017-01-01T00:00:00"/>
    <n v="1150000"/>
    <n v="32122.91"/>
    <n v="1"/>
    <s v="Ипотека"/>
    <s v="Квартира"/>
    <s v="Учалинский"/>
    <x v="21"/>
    <s v="Мира"/>
    <n v="1"/>
    <n v="1"/>
    <n v="2002"/>
  </r>
  <r>
    <x v="214"/>
    <x v="157"/>
    <s v="Договор купли-продажи"/>
    <d v="2017-01-01T00:00:00"/>
    <d v="2017-02-01T00:00:00"/>
    <n v="1844000"/>
    <n v="32350.880000000001"/>
    <n v="1"/>
    <s v="Ипотека"/>
    <s v="Квартира"/>
    <s v="Учалинский"/>
    <x v="21"/>
    <s v="Башкортостана"/>
    <n v="5"/>
    <n v="1"/>
    <n v="2010"/>
  </r>
  <r>
    <x v="214"/>
    <x v="369"/>
    <s v="Договор купли-продажи"/>
    <d v="2016-11-01T00:00:00"/>
    <d v="2016-11-01T00:00:00"/>
    <n v="960000"/>
    <n v="32432.43"/>
    <n v="1"/>
    <s v="Ипотека"/>
    <s v="Квартира"/>
    <s v="Учалинский"/>
    <x v="21"/>
    <s v="Ахметгалина"/>
    <n v="3"/>
    <n v="1"/>
    <n v="2006"/>
  </r>
  <r>
    <x v="218"/>
    <x v="3"/>
    <s v="Договор купли-продажи"/>
    <d v="2017-01-01T00:00:00"/>
    <d v="2017-01-01T00:00:00"/>
    <n v="1166471"/>
    <n v="33044.5"/>
    <n v="1"/>
    <s v="Ипотека"/>
    <s v="Квартира"/>
    <s v="Учалинский"/>
    <x v="21"/>
    <s v="Новая"/>
    <n v="1"/>
    <n v="1"/>
    <n v="2014"/>
  </r>
  <r>
    <x v="213"/>
    <x v="244"/>
    <s v="Договор купли-продажи"/>
    <d v="2016-12-01T00:00:00"/>
    <d v="2016-12-01T00:00:00"/>
    <n v="1960000"/>
    <n v="33390.120000000003"/>
    <n v="1"/>
    <s v="Ипотека"/>
    <s v="Квартира"/>
    <s v="Учалинский"/>
    <x v="21"/>
    <s v="Горького"/>
    <n v="5"/>
    <n v="2"/>
    <n v="2004"/>
  </r>
  <r>
    <x v="213"/>
    <x v="244"/>
    <s v="Договор купли-продажи"/>
    <d v="2016-12-01T00:00:00"/>
    <d v="2016-12-01T00:00:00"/>
    <n v="1960000"/>
    <n v="33390.120000000003"/>
    <n v="1"/>
    <s v="Ипотека"/>
    <s v="Квартира"/>
    <s v="Учалинский"/>
    <x v="21"/>
    <s v="Горького"/>
    <n v="5"/>
    <n v="2"/>
    <n v="2004"/>
  </r>
  <r>
    <x v="213"/>
    <x v="424"/>
    <s v="Договор купли-продажи"/>
    <d v="2016-12-01T00:00:00"/>
    <d v="2016-12-01T00:00:00"/>
    <n v="1120000"/>
    <n v="33432.839999999997"/>
    <n v="1"/>
    <s v="Ипотека"/>
    <s v="Помещение"/>
    <s v="Учалинский"/>
    <x v="21"/>
    <s v="Ленина"/>
    <n v="5"/>
    <n v="2"/>
    <n v="2001"/>
  </r>
  <r>
    <x v="213"/>
    <x v="424"/>
    <s v="Договор купли-продажи"/>
    <d v="2016-12-01T00:00:00"/>
    <d v="2016-12-01T00:00:00"/>
    <n v="1120000"/>
    <n v="33432.839999999997"/>
    <n v="1"/>
    <s v="Ипотека"/>
    <s v="Помещение"/>
    <s v="Учалинский"/>
    <x v="21"/>
    <s v="Ленина"/>
    <n v="5"/>
    <n v="2"/>
    <n v="2001"/>
  </r>
  <r>
    <x v="213"/>
    <x v="224"/>
    <s v="Договор купли-продажи"/>
    <d v="2016-12-01T00:00:00"/>
    <d v="2016-12-01T00:00:00"/>
    <n v="1700000"/>
    <n v="33464.57"/>
    <n v="1"/>
    <s v="Ипотека"/>
    <s v="Помещение"/>
    <s v="Учалинский"/>
    <x v="21"/>
    <s v="Ленина"/>
    <n v="2"/>
    <n v="1"/>
    <n v="2014"/>
  </r>
  <r>
    <x v="212"/>
    <x v="425"/>
    <s v="Договор купли-продажи"/>
    <d v="2017-03-01T00:00:00"/>
    <d v="2017-03-01T00:00:00"/>
    <n v="1500000"/>
    <n v="33783.78"/>
    <n v="1"/>
    <s v="Ипотека"/>
    <s v="Квартира"/>
    <s v="Учалинский"/>
    <x v="21"/>
    <s v="Ленина"/>
    <n v="4"/>
    <n v="1"/>
    <n v="2007"/>
  </r>
  <r>
    <x v="212"/>
    <x v="136"/>
    <s v="Договор купли-продажи"/>
    <d v="2016-12-01T00:00:00"/>
    <d v="2017-01-01T00:00:00"/>
    <n v="1400000"/>
    <n v="33898.31"/>
    <n v="1"/>
    <s v="Ипотека"/>
    <s v="Квартира"/>
    <s v="Учалинский"/>
    <x v="21"/>
    <s v="Первостроителей"/>
    <n v="1"/>
    <n v="1"/>
    <n v="2012"/>
  </r>
  <r>
    <x v="214"/>
    <x v="428"/>
    <s v="Договор купли-продажи"/>
    <d v="2016-12-01T00:00:00"/>
    <d v="2016-12-01T00:00:00"/>
    <n v="952000"/>
    <n v="34121.86"/>
    <n v="1"/>
    <s v="Ипотека"/>
    <s v="Помещение"/>
    <s v="Учалинский"/>
    <x v="21"/>
    <s v="Ахметгалина"/>
    <n v="1"/>
    <n v="1"/>
    <n v="2016"/>
  </r>
  <r>
    <x v="213"/>
    <x v="306"/>
    <s v="Договор купли-продажи"/>
    <d v="2017-03-01T00:00:00"/>
    <d v="2017-03-01T00:00:00"/>
    <n v="1200000"/>
    <n v="34188.03"/>
    <n v="1"/>
    <s v="Ипотека"/>
    <s v="Квартира"/>
    <s v="Учалинский"/>
    <x v="21"/>
    <s v="Ленина"/>
    <n v="4"/>
    <n v="1"/>
    <n v="2008"/>
  </r>
  <r>
    <x v="218"/>
    <x v="8"/>
    <s v="Договор купли-продажи"/>
    <d v="2016-12-01T00:00:00"/>
    <d v="2016-12-01T00:00:00"/>
    <n v="1600000"/>
    <n v="34334.76"/>
    <n v="1"/>
    <s v="Ипотека"/>
    <s v="Квартира"/>
    <s v="Учалинский"/>
    <x v="21"/>
    <s v="Имангуловская"/>
    <n v="4"/>
    <n v="1"/>
    <n v="2002"/>
  </r>
  <r>
    <x v="213"/>
    <x v="235"/>
    <s v="Договор купли-продажи"/>
    <d v="2017-02-01T00:00:00"/>
    <d v="2017-02-01T00:00:00"/>
    <n v="2000000"/>
    <n v="34482.76"/>
    <n v="1"/>
    <s v="Ипотека"/>
    <s v="Квартира"/>
    <s v="Учалинский"/>
    <x v="21"/>
    <s v="Ленина"/>
    <n v="4"/>
    <n v="1"/>
    <n v="2001"/>
  </r>
  <r>
    <x v="213"/>
    <x v="36"/>
    <s v="Договор купли-продажи"/>
    <d v="2016-10-01T00:00:00"/>
    <d v="2016-11-01T00:00:00"/>
    <n v="1160000"/>
    <n v="34730.54"/>
    <n v="1"/>
    <s v="Ипотека"/>
    <s v="Квартира"/>
    <s v="Учалинский"/>
    <x v="21"/>
    <m/>
    <n v="2"/>
    <n v="1"/>
    <n v="2009"/>
  </r>
  <r>
    <x v="214"/>
    <x v="26"/>
    <s v="Договор купли-продажи"/>
    <d v="2017-01-01T00:00:00"/>
    <d v="2017-01-01T00:00:00"/>
    <n v="1112000"/>
    <n v="35189.870000000003"/>
    <n v="1"/>
    <s v="Ипотека"/>
    <s v="Квартира"/>
    <s v="Учалинский"/>
    <x v="21"/>
    <s v="Башкортостана"/>
    <n v="3"/>
    <n v="2"/>
    <n v="2005"/>
  </r>
  <r>
    <x v="214"/>
    <x v="26"/>
    <s v="Договор купли-продажи"/>
    <d v="2017-01-01T00:00:00"/>
    <d v="2017-01-01T00:00:00"/>
    <n v="1112000"/>
    <n v="35189.870000000003"/>
    <n v="1"/>
    <s v="Ипотека"/>
    <s v="Квартира"/>
    <s v="Учалинский"/>
    <x v="21"/>
    <s v="Башкортостана"/>
    <n v="3"/>
    <n v="2"/>
    <n v="2005"/>
  </r>
  <r>
    <x v="212"/>
    <x v="429"/>
    <s v="Договор купли-продажи"/>
    <d v="2017-02-01T00:00:00"/>
    <d v="2017-02-01T00:00:00"/>
    <n v="1700000"/>
    <n v="35269.71"/>
    <n v="1"/>
    <s v="Ипотека"/>
    <s v="Квартира"/>
    <s v="Учалинский"/>
    <x v="21"/>
    <s v="Ленина"/>
    <n v="5"/>
    <n v="1"/>
    <n v="2007"/>
  </r>
  <r>
    <x v="214"/>
    <x v="249"/>
    <s v="Договор купли-продажи"/>
    <d v="2017-01-01T00:00:00"/>
    <d v="2017-01-01T00:00:00"/>
    <n v="1080000"/>
    <n v="35643.56"/>
    <n v="1"/>
    <s v="Ипотека"/>
    <s v="Квартира"/>
    <s v="Учалинский"/>
    <x v="21"/>
    <s v="Башкортостана"/>
    <n v="5"/>
    <n v="2"/>
    <n v="2016"/>
  </r>
  <r>
    <x v="214"/>
    <x v="249"/>
    <s v="Договор купли-продажи"/>
    <d v="2017-01-01T00:00:00"/>
    <d v="2017-01-01T00:00:00"/>
    <n v="1080000"/>
    <n v="35643.56"/>
    <n v="1"/>
    <s v="Ипотека"/>
    <s v="Квартира"/>
    <s v="Учалинский"/>
    <x v="21"/>
    <s v="Башкортостана"/>
    <n v="5"/>
    <n v="2"/>
    <n v="2016"/>
  </r>
  <r>
    <x v="215"/>
    <x v="201"/>
    <s v="Договор купли-продажи"/>
    <d v="2016-12-01T00:00:00"/>
    <d v="2016-12-01T00:00:00"/>
    <n v="1300000"/>
    <n v="36211.699999999997"/>
    <n v="1"/>
    <s v="Ипотека"/>
    <s v="Квартира"/>
    <s v="Учалинский"/>
    <x v="21"/>
    <s v="Мира"/>
    <n v="4"/>
    <n v="1"/>
    <n v="2013"/>
  </r>
  <r>
    <x v="212"/>
    <x v="430"/>
    <s v="Договор купли-продажи"/>
    <d v="2016-12-01T00:00:00"/>
    <d v="2016-12-01T00:00:00"/>
    <n v="1600000"/>
    <n v="36363.64"/>
    <n v="1"/>
    <s v="Ипотека"/>
    <s v="Квартира"/>
    <s v="Учалинский"/>
    <x v="21"/>
    <s v="Башкортостана"/>
    <n v="5"/>
    <n v="1"/>
    <n v="2009"/>
  </r>
  <r>
    <x v="215"/>
    <x v="411"/>
    <s v="Договор купли-продажи"/>
    <d v="2016-12-01T00:00:00"/>
    <d v="2017-01-01T00:00:00"/>
    <n v="1160000"/>
    <n v="36477.99"/>
    <n v="1"/>
    <s v="Ипотека"/>
    <s v="Квартира"/>
    <s v="Учалинский"/>
    <x v="21"/>
    <s v="Мира"/>
    <n v="4"/>
    <n v="1"/>
    <n v="2005"/>
  </r>
  <r>
    <x v="212"/>
    <x v="355"/>
    <s v="Договор купли-продажи"/>
    <d v="2016-12-01T00:00:00"/>
    <d v="2016-12-01T00:00:00"/>
    <n v="1200000"/>
    <n v="37267.08"/>
    <n v="1"/>
    <s v="Ипотека"/>
    <s v="Квартира"/>
    <s v="Учалинский"/>
    <x v="21"/>
    <s v="Кирова"/>
    <n v="4"/>
    <n v="1"/>
    <n v="2002"/>
  </r>
  <r>
    <x v="213"/>
    <x v="19"/>
    <s v="Договор купли-продажи"/>
    <d v="2016-11-01T00:00:00"/>
    <d v="2016-12-01T00:00:00"/>
    <n v="1227864"/>
    <n v="38251.22"/>
    <n v="1"/>
    <s v="Ипотека"/>
    <s v="Квартира"/>
    <s v="Учалинский"/>
    <x v="21"/>
    <s v="Ленина"/>
    <n v="2"/>
    <n v="1"/>
    <n v="2002"/>
  </r>
  <r>
    <x v="220"/>
    <x v="431"/>
    <s v="Договор купли-продажи"/>
    <d v="2016-10-01T00:00:00"/>
    <d v="2016-11-01T00:00:00"/>
    <n v="800000"/>
    <n v="9060.02"/>
    <n v="1"/>
    <s v="Ипотека"/>
    <s v="Квартира"/>
    <s v="Федоровский"/>
    <x v="22"/>
    <s v="Коммунистическая"/>
    <n v="1"/>
    <n v="1"/>
    <n v="2014"/>
  </r>
  <r>
    <x v="221"/>
    <x v="25"/>
    <s v="Договор купли-продажи"/>
    <d v="2016-10-01T00:00:00"/>
    <d v="2016-10-01T00:00:00"/>
    <n v="570000"/>
    <n v="13133.64"/>
    <n v="1"/>
    <s v="Ипотека"/>
    <s v="Квартира"/>
    <s v="Федоровский"/>
    <x v="22"/>
    <s v="Социалистическая"/>
    <n v="2"/>
    <n v="1"/>
    <n v="2005"/>
  </r>
  <r>
    <x v="222"/>
    <x v="185"/>
    <s v="Договор купли-продажи"/>
    <d v="2017-01-01T00:00:00"/>
    <d v="2017-01-01T00:00:00"/>
    <n v="1105000"/>
    <n v="18634.060000000001"/>
    <n v="1"/>
    <s v="Ипотека"/>
    <s v="Квартира"/>
    <s v="Благоварский"/>
    <x v="23"/>
    <s v="Космонавтов"/>
    <n v="2"/>
    <n v="2"/>
    <n v="2001"/>
  </r>
  <r>
    <x v="222"/>
    <x v="185"/>
    <s v="Договор купли-продажи"/>
    <d v="2017-01-01T00:00:00"/>
    <d v="2017-01-01T00:00:00"/>
    <n v="1105000"/>
    <n v="18634.060000000001"/>
    <n v="1"/>
    <s v="Ипотека"/>
    <s v="Квартира"/>
    <s v="Благоварский"/>
    <x v="23"/>
    <s v="Космонавтов"/>
    <n v="2"/>
    <n v="2"/>
    <n v="2001"/>
  </r>
  <r>
    <x v="223"/>
    <x v="253"/>
    <s v="Договор купли-продажи"/>
    <d v="2017-02-01T00:00:00"/>
    <d v="2017-02-01T00:00:00"/>
    <n v="1140000"/>
    <n v="22619.05"/>
    <n v="1"/>
    <s v="Ипотека"/>
    <s v="Квартира"/>
    <s v="Благоварский"/>
    <x v="23"/>
    <s v="Друненкова"/>
    <n v="2"/>
    <n v="2"/>
    <n v="2001"/>
  </r>
  <r>
    <x v="223"/>
    <x v="253"/>
    <s v="Договор купли-продажи"/>
    <d v="2017-02-01T00:00:00"/>
    <d v="2017-02-01T00:00:00"/>
    <n v="1140000"/>
    <n v="22619.05"/>
    <n v="1"/>
    <s v="Ипотека"/>
    <s v="Квартира"/>
    <s v="Благоварский"/>
    <x v="23"/>
    <s v="Друненкова"/>
    <n v="2"/>
    <n v="2"/>
    <n v="2001"/>
  </r>
  <r>
    <x v="224"/>
    <x v="412"/>
    <s v="Договор купли-продажи"/>
    <d v="2016-12-01T00:00:00"/>
    <d v="2016-12-01T00:00:00"/>
    <n v="300000"/>
    <n v="10526.32"/>
    <n v="1"/>
    <s v="Ипотека"/>
    <s v="Квартира"/>
    <s v="Янаульский"/>
    <x v="24"/>
    <m/>
    <n v="1"/>
    <n v="1"/>
    <n v="2016"/>
  </r>
  <r>
    <x v="224"/>
    <x v="418"/>
    <s v="Договор купли-продажи"/>
    <d v="2017-03-01T00:00:00"/>
    <d v="2017-03-01T00:00:00"/>
    <n v="600000"/>
    <n v="10849.91"/>
    <n v="1"/>
    <s v="Ипотека"/>
    <s v="Квартира"/>
    <s v="Янаульский"/>
    <x v="24"/>
    <m/>
    <n v="1"/>
    <n v="1"/>
    <n v="2005"/>
  </r>
  <r>
    <x v="225"/>
    <x v="354"/>
    <s v="Договор купли-продажи"/>
    <d v="2016-09-01T00:00:00"/>
    <d v="2016-10-01T00:00:00"/>
    <n v="408026"/>
    <n v="11027.73"/>
    <n v="1"/>
    <s v="Ипотека"/>
    <s v="Квартира"/>
    <s v="Янаульский"/>
    <x v="24"/>
    <s v="Победы"/>
    <n v="2"/>
    <n v="1"/>
    <n v="2002"/>
  </r>
  <r>
    <x v="226"/>
    <x v="87"/>
    <s v="Договор купли-продажи"/>
    <d v="2016-12-01T00:00:00"/>
    <d v="2016-12-01T00:00:00"/>
    <n v="650000"/>
    <n v="13078.47"/>
    <n v="1"/>
    <s v="Ипотека"/>
    <s v="Квартира"/>
    <s v="Янаульский"/>
    <x v="24"/>
    <s v="Победы"/>
    <n v="5"/>
    <n v="1"/>
    <n v="2016"/>
  </r>
  <r>
    <x v="224"/>
    <x v="163"/>
    <s v="Договор купли-продажи"/>
    <d v="2016-11-01T00:00:00"/>
    <d v="2016-11-01T00:00:00"/>
    <n v="700000"/>
    <n v="13698.63"/>
    <n v="1"/>
    <s v="Ипотека"/>
    <s v="Квартира"/>
    <s v="Янаульский"/>
    <x v="24"/>
    <m/>
    <n v="2"/>
    <n v="1"/>
    <n v="2012"/>
  </r>
  <r>
    <x v="227"/>
    <x v="273"/>
    <s v="Договор купли-продажи"/>
    <d v="2017-01-01T00:00:00"/>
    <d v="2017-01-01T00:00:00"/>
    <n v="500000"/>
    <n v="14534.88"/>
    <n v="1"/>
    <s v="Ипотека"/>
    <s v="Квартира"/>
    <s v="Янаульский"/>
    <x v="24"/>
    <s v="Азина"/>
    <n v="2"/>
    <n v="1"/>
    <n v="2007"/>
  </r>
  <r>
    <x v="228"/>
    <x v="432"/>
    <s v="Договор купли-продажи"/>
    <d v="2016-12-01T00:00:00"/>
    <d v="2016-12-01T00:00:00"/>
    <n v="1200000"/>
    <n v="15075.38"/>
    <n v="1"/>
    <s v="Ипотека"/>
    <s v="Квартира"/>
    <s v="Янаульский"/>
    <x v="24"/>
    <s v="Азина"/>
    <n v="2"/>
    <n v="1"/>
    <n v="2001"/>
  </r>
  <r>
    <x v="224"/>
    <x v="379"/>
    <s v="Договор купли-продажи"/>
    <d v="2016-10-01T00:00:00"/>
    <d v="2016-10-01T00:00:00"/>
    <n v="650000"/>
    <n v="15402.84"/>
    <n v="1"/>
    <s v="Ипотека"/>
    <s v="Квартира"/>
    <s v="Янаульский"/>
    <x v="24"/>
    <s v="Некрасова"/>
    <n v="5"/>
    <n v="2"/>
    <n v="2005"/>
  </r>
  <r>
    <x v="224"/>
    <x v="379"/>
    <s v="Договор купли-продажи"/>
    <d v="2016-10-01T00:00:00"/>
    <d v="2016-10-01T00:00:00"/>
    <n v="650000"/>
    <n v="15402.84"/>
    <n v="1"/>
    <s v="Ипотека"/>
    <s v="Квартира"/>
    <s v="Янаульский"/>
    <x v="24"/>
    <s v="Некрасова"/>
    <n v="5"/>
    <n v="2"/>
    <n v="2005"/>
  </r>
  <r>
    <x v="226"/>
    <x v="194"/>
    <s v="Договор купли-продажи"/>
    <d v="2016-09-01T00:00:00"/>
    <d v="2016-10-01T00:00:00"/>
    <n v="800000"/>
    <n v="16359.92"/>
    <n v="1"/>
    <s v="Ипотека"/>
    <s v="Квартира"/>
    <s v="Янаульский"/>
    <x v="24"/>
    <m/>
    <n v="2"/>
    <n v="1"/>
    <n v="2016"/>
  </r>
  <r>
    <x v="224"/>
    <x v="251"/>
    <s v="Договор купли-продажи"/>
    <d v="2016-09-01T00:00:00"/>
    <d v="2016-10-01T00:00:00"/>
    <n v="850000"/>
    <n v="18973.21"/>
    <n v="1"/>
    <s v="Ипотека"/>
    <s v="Квартира"/>
    <s v="Янаульский"/>
    <x v="24"/>
    <s v="Советская"/>
    <n v="5"/>
    <n v="1"/>
    <n v="2001"/>
  </r>
  <r>
    <x v="229"/>
    <x v="7"/>
    <s v="Договор купли-продажи"/>
    <d v="2017-03-01T00:00:00"/>
    <d v="2017-03-01T00:00:00"/>
    <n v="1000000"/>
    <n v="20040.080000000002"/>
    <n v="1"/>
    <s v="Ипотека"/>
    <s v="Квартира"/>
    <s v="Янаульский"/>
    <x v="24"/>
    <s v="Ленина"/>
    <n v="3"/>
    <n v="2"/>
    <n v="2002"/>
  </r>
  <r>
    <x v="229"/>
    <x v="7"/>
    <s v="Договор купли-продажи"/>
    <d v="2017-03-01T00:00:00"/>
    <d v="2017-03-01T00:00:00"/>
    <n v="1000000"/>
    <n v="20040.080000000002"/>
    <n v="1"/>
    <s v="Ипотека"/>
    <s v="Квартира"/>
    <s v="Янаульский"/>
    <x v="24"/>
    <s v="Ленина"/>
    <n v="3"/>
    <n v="2"/>
    <n v="2002"/>
  </r>
  <r>
    <x v="224"/>
    <x v="163"/>
    <s v="Договор купли-продажи"/>
    <d v="2016-11-01T00:00:00"/>
    <d v="2016-12-01T00:00:00"/>
    <n v="1100000"/>
    <n v="21526.42"/>
    <n v="1"/>
    <s v="Ипотека"/>
    <s v="Квартира"/>
    <s v="Янаульский"/>
    <x v="24"/>
    <s v="Азина"/>
    <n v="4"/>
    <n v="2"/>
    <n v="2013"/>
  </r>
  <r>
    <x v="224"/>
    <x v="163"/>
    <s v="Договор купли-продажи"/>
    <d v="2016-11-01T00:00:00"/>
    <d v="2016-12-01T00:00:00"/>
    <n v="1100000"/>
    <n v="21526.42"/>
    <n v="1"/>
    <s v="Ипотека"/>
    <s v="Квартира"/>
    <s v="Янаульский"/>
    <x v="24"/>
    <s v="Азина"/>
    <n v="4"/>
    <n v="2"/>
    <n v="2013"/>
  </r>
  <r>
    <x v="225"/>
    <x v="217"/>
    <s v="Договор купли-продажи"/>
    <d v="2017-03-01T00:00:00"/>
    <d v="2017-03-01T00:00:00"/>
    <n v="1150000"/>
    <n v="21657.25"/>
    <n v="1"/>
    <s v="Ипотека"/>
    <s v="Квартира"/>
    <s v="Янаульский"/>
    <x v="24"/>
    <s v="Победы"/>
    <n v="3"/>
    <n v="1"/>
    <n v="2017"/>
  </r>
  <r>
    <x v="229"/>
    <x v="106"/>
    <s v="Договор купли-продажи"/>
    <d v="2008-07-01T00:00:00"/>
    <d v="2016-12-01T00:00:00"/>
    <n v="772200"/>
    <n v="21752.11"/>
    <n v="1"/>
    <s v="Ипотека"/>
    <s v="Квартира"/>
    <s v="Янаульский"/>
    <x v="24"/>
    <s v="Ломоносова"/>
    <n v="2"/>
    <n v="1"/>
    <n v="2008"/>
  </r>
  <r>
    <x v="226"/>
    <x v="159"/>
    <s v="Договор купли-продажи"/>
    <d v="2016-10-01T00:00:00"/>
    <d v="2016-10-01T00:00:00"/>
    <n v="1100000"/>
    <n v="22000"/>
    <n v="1"/>
    <s v="Ипотека"/>
    <s v="Квартира"/>
    <s v="Янаульский"/>
    <x v="24"/>
    <s v="Победы"/>
    <n v="1"/>
    <n v="1"/>
    <n v="2016"/>
  </r>
  <r>
    <x v="224"/>
    <x v="127"/>
    <s v="Договор купли-продажи"/>
    <d v="2016-10-01T00:00:00"/>
    <d v="2016-10-01T00:00:00"/>
    <n v="609000"/>
    <n v="22389.71"/>
    <n v="1"/>
    <s v="Ипотека"/>
    <s v="Квартира"/>
    <s v="Янаульский"/>
    <x v="24"/>
    <m/>
    <n v="1"/>
    <n v="1"/>
    <n v="2007"/>
  </r>
  <r>
    <x v="229"/>
    <x v="433"/>
    <s v="Договор купли-продажи"/>
    <d v="2016-10-01T00:00:00"/>
    <d v="2016-11-01T00:00:00"/>
    <n v="1577000"/>
    <n v="22496.43"/>
    <n v="1"/>
    <s v="Ипотека"/>
    <s v="Квартира"/>
    <s v="Янаульский"/>
    <x v="24"/>
    <s v="Победы"/>
    <n v="5"/>
    <n v="2"/>
    <n v="2016"/>
  </r>
  <r>
    <x v="229"/>
    <x v="433"/>
    <s v="Договор купли-продажи"/>
    <d v="2016-10-01T00:00:00"/>
    <d v="2016-11-01T00:00:00"/>
    <n v="1577000"/>
    <n v="22496.43"/>
    <n v="1"/>
    <s v="Ипотека"/>
    <s v="Квартира"/>
    <s v="Янаульский"/>
    <x v="24"/>
    <s v="Победы"/>
    <n v="5"/>
    <n v="2"/>
    <n v="2016"/>
  </r>
  <r>
    <x v="230"/>
    <x v="34"/>
    <s v="Договор купли-продажи"/>
    <d v="2017-03-01T00:00:00"/>
    <d v="2017-03-01T00:00:00"/>
    <n v="796000"/>
    <n v="22873.56"/>
    <n v="1"/>
    <s v="Ипотека"/>
    <s v="Квартира"/>
    <s v="Янаульский"/>
    <x v="24"/>
    <s v="Станционная"/>
    <n v="2"/>
    <n v="1"/>
    <n v="2012"/>
  </r>
  <r>
    <x v="231"/>
    <x v="434"/>
    <s v="Договор купли-продажи"/>
    <d v="2017-02-01T00:00:00"/>
    <d v="2017-03-01T00:00:00"/>
    <n v="483000"/>
    <n v="22891"/>
    <n v="1"/>
    <s v="Ипотека"/>
    <s v="Квартира"/>
    <s v="Янаульский"/>
    <x v="24"/>
    <m/>
    <n v="2"/>
    <n v="1"/>
    <n v="2017"/>
  </r>
  <r>
    <x v="224"/>
    <x v="435"/>
    <s v="Договор купли-продажи"/>
    <d v="2016-11-01T00:00:00"/>
    <d v="2016-12-01T00:00:00"/>
    <n v="1350000"/>
    <n v="23235.8"/>
    <n v="1"/>
    <s v="Ипотека"/>
    <s v="Квартира"/>
    <s v="Янаульский"/>
    <x v="24"/>
    <m/>
    <n v="5"/>
    <n v="1"/>
    <n v="2004"/>
  </r>
  <r>
    <x v="232"/>
    <x v="216"/>
    <s v="Договор купли-продажи"/>
    <d v="2016-12-01T00:00:00"/>
    <d v="2016-12-01T00:00:00"/>
    <n v="850000"/>
    <n v="24147.73"/>
    <n v="1"/>
    <s v="Ипотека"/>
    <s v="Квартира"/>
    <s v="Янаульский"/>
    <x v="24"/>
    <s v="Азина"/>
    <n v="4"/>
    <n v="1"/>
    <n v="2007"/>
  </r>
  <r>
    <x v="233"/>
    <x v="241"/>
    <s v="Договор купли-продажи"/>
    <d v="2016-12-01T00:00:00"/>
    <d v="2016-12-01T00:00:00"/>
    <n v="1287828"/>
    <n v="24390.68"/>
    <n v="1"/>
    <s v="Ипотека"/>
    <s v="Квартира"/>
    <s v="Янаульский"/>
    <x v="24"/>
    <s v="Юбилейная"/>
    <n v="2"/>
    <n v="1"/>
    <n v="2001"/>
  </r>
  <r>
    <x v="234"/>
    <x v="353"/>
    <s v="Договор купли-продажи"/>
    <d v="2016-12-01T00:00:00"/>
    <d v="2016-12-01T00:00:00"/>
    <n v="990000"/>
    <n v="24750"/>
    <n v="1"/>
    <s v="Ипотека"/>
    <s v="Квартира"/>
    <s v="Янаульский"/>
    <x v="24"/>
    <s v="Якутова"/>
    <n v="3"/>
    <n v="1"/>
    <n v="2014"/>
  </r>
  <r>
    <x v="230"/>
    <x v="34"/>
    <s v="Договор купли-продажи"/>
    <d v="2016-12-01T00:00:00"/>
    <d v="2016-12-01T00:00:00"/>
    <n v="900000"/>
    <n v="25862.07"/>
    <n v="1"/>
    <s v="Ипотека"/>
    <s v="Квартира"/>
    <s v="Янаульский"/>
    <x v="24"/>
    <s v="Станционная"/>
    <n v="5"/>
    <n v="1"/>
    <n v="2012"/>
  </r>
  <r>
    <x v="224"/>
    <x v="123"/>
    <s v="Договор купли-продажи"/>
    <d v="2017-03-01T00:00:00"/>
    <d v="2017-03-01T00:00:00"/>
    <n v="1200000"/>
    <n v="25974.03"/>
    <n v="1"/>
    <s v="Ипотека"/>
    <s v="Квартира"/>
    <s v="Янаульский"/>
    <x v="24"/>
    <s v="Некрасова"/>
    <n v="5"/>
    <n v="1"/>
    <n v="2002"/>
  </r>
  <r>
    <x v="224"/>
    <x v="58"/>
    <s v="Договор купли-продажи"/>
    <d v="2016-09-01T00:00:00"/>
    <d v="2016-10-01T00:00:00"/>
    <n v="776000"/>
    <n v="26040.27"/>
    <n v="1"/>
    <s v="Ипотека"/>
    <s v="Квартира"/>
    <s v="Янаульский"/>
    <x v="24"/>
    <m/>
    <n v="5"/>
    <n v="1"/>
    <n v="2001"/>
  </r>
  <r>
    <x v="224"/>
    <x v="196"/>
    <s v="Договор купли-продажи"/>
    <d v="2016-12-01T00:00:00"/>
    <d v="2016-12-01T00:00:00"/>
    <n v="1600000"/>
    <n v="26446.28"/>
    <n v="1"/>
    <s v="Ипотека"/>
    <s v="Квартира"/>
    <s v="Янаульский"/>
    <x v="24"/>
    <s v="Некрасова"/>
    <n v="2"/>
    <n v="2"/>
    <n v="2005"/>
  </r>
  <r>
    <x v="224"/>
    <x v="196"/>
    <s v="Договор купли-продажи"/>
    <d v="2016-12-01T00:00:00"/>
    <d v="2016-12-01T00:00:00"/>
    <n v="1600000"/>
    <n v="26446.28"/>
    <n v="1"/>
    <s v="Ипотека"/>
    <s v="Квартира"/>
    <s v="Янаульский"/>
    <x v="24"/>
    <s v="Некрасова"/>
    <n v="2"/>
    <n v="2"/>
    <n v="2005"/>
  </r>
  <r>
    <x v="224"/>
    <x v="19"/>
    <s v="Договор купли-продажи"/>
    <d v="2016-09-01T00:00:00"/>
    <d v="2016-10-01T00:00:00"/>
    <n v="850000"/>
    <n v="26479.75"/>
    <n v="1"/>
    <s v="Ипотека"/>
    <s v="Квартира"/>
    <s v="Янаульский"/>
    <x v="24"/>
    <m/>
    <n v="2"/>
    <n v="1"/>
    <n v="2015"/>
  </r>
  <r>
    <x v="235"/>
    <x v="203"/>
    <s v="Договор купли-продажи"/>
    <d v="2016-12-01T00:00:00"/>
    <d v="2016-12-01T00:00:00"/>
    <n v="1648000"/>
    <n v="26753.25"/>
    <n v="1"/>
    <s v="Ипотека"/>
    <s v="Квартира"/>
    <s v="Янаульский"/>
    <x v="24"/>
    <s v="Азина"/>
    <n v="2"/>
    <n v="2"/>
    <n v="2006"/>
  </r>
  <r>
    <x v="235"/>
    <x v="203"/>
    <s v="Договор купли-продажи"/>
    <d v="2016-12-01T00:00:00"/>
    <d v="2016-12-01T00:00:00"/>
    <n v="1648000"/>
    <n v="26753.25"/>
    <n v="1"/>
    <s v="Ипотека"/>
    <s v="Квартира"/>
    <s v="Янаульский"/>
    <x v="24"/>
    <s v="Азина"/>
    <n v="2"/>
    <n v="2"/>
    <n v="2006"/>
  </r>
  <r>
    <x v="224"/>
    <x v="129"/>
    <s v="Договор купли-продажи"/>
    <d v="2016-12-01T00:00:00"/>
    <d v="2016-12-01T00:00:00"/>
    <n v="1160000"/>
    <n v="27230.05"/>
    <n v="1"/>
    <s v="Ипотека"/>
    <s v="Квартира"/>
    <s v="Янаульский"/>
    <x v="24"/>
    <m/>
    <n v="2"/>
    <n v="2"/>
    <n v="2006"/>
  </r>
  <r>
    <x v="224"/>
    <x v="129"/>
    <s v="Договор купли-продажи"/>
    <d v="2016-12-01T00:00:00"/>
    <d v="2016-12-01T00:00:00"/>
    <n v="1160000"/>
    <n v="27230.05"/>
    <n v="1"/>
    <s v="Ипотека"/>
    <s v="Квартира"/>
    <s v="Янаульский"/>
    <x v="24"/>
    <m/>
    <n v="2"/>
    <n v="2"/>
    <n v="2006"/>
  </r>
  <r>
    <x v="229"/>
    <x v="333"/>
    <s v="Договор купли-продажи"/>
    <d v="2016-11-01T00:00:00"/>
    <d v="2016-11-01T00:00:00"/>
    <n v="1400000"/>
    <n v="27343.75"/>
    <n v="1"/>
    <s v="Ипотека"/>
    <s v="Квартира"/>
    <s v="Янаульский"/>
    <x v="24"/>
    <s v="Победы"/>
    <n v="4"/>
    <n v="1"/>
    <n v="2015"/>
  </r>
  <r>
    <x v="224"/>
    <x v="187"/>
    <s v="Договор купли-продажи"/>
    <d v="2017-01-01T00:00:00"/>
    <d v="2017-01-01T00:00:00"/>
    <n v="1220000"/>
    <n v="27601.81"/>
    <n v="1"/>
    <s v="Ипотека"/>
    <s v="Квартира"/>
    <s v="Янаульский"/>
    <x v="24"/>
    <s v="Некрасова"/>
    <n v="3"/>
    <n v="2"/>
    <n v="2016"/>
  </r>
  <r>
    <x v="224"/>
    <x v="187"/>
    <s v="Договор купли-продажи"/>
    <d v="2017-01-01T00:00:00"/>
    <d v="2017-01-01T00:00:00"/>
    <n v="1220000"/>
    <n v="27601.81"/>
    <n v="1"/>
    <s v="Ипотека"/>
    <s v="Квартира"/>
    <s v="Янаульский"/>
    <x v="24"/>
    <s v="Некрасова"/>
    <n v="3"/>
    <n v="2"/>
    <n v="2016"/>
  </r>
  <r>
    <x v="236"/>
    <x v="22"/>
    <s v="Договор купли-продажи"/>
    <d v="2016-12-01T00:00:00"/>
    <d v="2016-12-01T00:00:00"/>
    <n v="1287828"/>
    <n v="27695.23"/>
    <n v="1"/>
    <s v="Ипотека"/>
    <s v="Квартира"/>
    <s v="Янаульский"/>
    <x v="24"/>
    <s v="Кирзаводская"/>
    <n v="3"/>
    <n v="1"/>
    <n v="2013"/>
  </r>
  <r>
    <x v="237"/>
    <x v="250"/>
    <s v="Договор купли-продажи"/>
    <d v="2017-02-01T00:00:00"/>
    <d v="2017-02-01T00:00:00"/>
    <n v="1500000"/>
    <n v="28089.89"/>
    <n v="1"/>
    <s v="Ипотека"/>
    <s v="Квартира"/>
    <s v="Янаульский"/>
    <x v="24"/>
    <s v="Октябрьская"/>
    <n v="2"/>
    <n v="2"/>
    <n v="2003"/>
  </r>
  <r>
    <x v="237"/>
    <x v="250"/>
    <s v="Договор купли-продажи"/>
    <d v="2017-02-01T00:00:00"/>
    <d v="2017-02-01T00:00:00"/>
    <n v="1500000"/>
    <n v="28089.89"/>
    <n v="1"/>
    <s v="Ипотека"/>
    <s v="Квартира"/>
    <s v="Янаульский"/>
    <x v="24"/>
    <s v="Октябрьская"/>
    <n v="2"/>
    <n v="2"/>
    <n v="2003"/>
  </r>
  <r>
    <x v="230"/>
    <x v="317"/>
    <s v="Договор купли-продажи"/>
    <d v="2016-10-01T00:00:00"/>
    <d v="2016-10-01T00:00:00"/>
    <n v="1060000"/>
    <n v="28191.49"/>
    <n v="1"/>
    <s v="Ипотека"/>
    <s v="Квартира"/>
    <s v="Янаульский"/>
    <x v="24"/>
    <s v="Станционная"/>
    <n v="6"/>
    <n v="2"/>
    <n v="2009"/>
  </r>
  <r>
    <x v="230"/>
    <x v="317"/>
    <s v="Договор купли-продажи"/>
    <d v="2016-10-01T00:00:00"/>
    <d v="2016-10-01T00:00:00"/>
    <n v="1060000"/>
    <n v="28191.49"/>
    <n v="1"/>
    <s v="Ипотека"/>
    <s v="Квартира"/>
    <s v="Янаульский"/>
    <x v="24"/>
    <s v="Станционная"/>
    <n v="6"/>
    <n v="2"/>
    <n v="2009"/>
  </r>
  <r>
    <x v="225"/>
    <x v="165"/>
    <s v="Договор купли-продажи"/>
    <d v="2017-02-01T00:00:00"/>
    <d v="2017-02-01T00:00:00"/>
    <n v="1510509"/>
    <n v="28554.05"/>
    <n v="1"/>
    <s v="Ипотека"/>
    <s v="Квартира"/>
    <s v="Янаульский"/>
    <x v="24"/>
    <s v="Победы"/>
    <n v="2"/>
    <n v="1"/>
    <n v="2017"/>
  </r>
  <r>
    <x v="229"/>
    <x v="14"/>
    <s v="Договор купли-продажи"/>
    <d v="2016-11-01T00:00:00"/>
    <d v="2016-11-01T00:00:00"/>
    <n v="960000"/>
    <n v="29629.63"/>
    <n v="1"/>
    <s v="Ипотека"/>
    <s v="Квартира"/>
    <s v="Янаульский"/>
    <x v="24"/>
    <s v="Ломоносова"/>
    <n v="1"/>
    <n v="1"/>
    <n v="2002"/>
  </r>
  <r>
    <x v="224"/>
    <x v="8"/>
    <s v="Договор купли-продажи"/>
    <d v="2017-02-01T00:00:00"/>
    <d v="2017-02-01T00:00:00"/>
    <n v="1400000"/>
    <n v="30042.92"/>
    <n v="1"/>
    <s v="Ипотека"/>
    <s v="Квартира"/>
    <s v="Янаульский"/>
    <x v="24"/>
    <m/>
    <n v="3"/>
    <n v="2"/>
    <n v="2016"/>
  </r>
  <r>
    <x v="224"/>
    <x v="8"/>
    <s v="Договор купли-продажи"/>
    <d v="2017-02-01T00:00:00"/>
    <d v="2017-02-01T00:00:00"/>
    <n v="1400000"/>
    <n v="30042.92"/>
    <n v="1"/>
    <s v="Ипотека"/>
    <s v="Квартира"/>
    <s v="Янаульский"/>
    <x v="24"/>
    <m/>
    <n v="3"/>
    <n v="2"/>
    <n v="2016"/>
  </r>
  <r>
    <x v="224"/>
    <x v="436"/>
    <s v="Договор купли-продажи"/>
    <d v="2016-10-01T00:00:00"/>
    <d v="2016-10-01T00:00:00"/>
    <n v="454000"/>
    <n v="54698.8"/>
    <n v="1"/>
    <s v="Ипотека"/>
    <s v="Квартира"/>
    <s v="Янаульский"/>
    <x v="24"/>
    <m/>
    <n v="1"/>
    <n v="1"/>
    <n v="200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5">
  <r>
    <x v="0"/>
    <x v="0"/>
    <n v="46"/>
    <n v="2012"/>
    <s v="Мертвые"/>
    <n v="1196000"/>
    <m/>
    <n v="1196000"/>
    <n v="-81674.479999999981"/>
    <n v="1277674.48"/>
    <x v="0"/>
  </r>
  <r>
    <x v="0"/>
    <x v="0"/>
    <n v="46.1"/>
    <n v="2012"/>
    <s v="Мертвые"/>
    <n v="1198600"/>
    <m/>
    <n v="1198600"/>
    <n v="-255443.35000000009"/>
    <n v="1454043.35"/>
    <x v="1"/>
  </r>
  <r>
    <x v="0"/>
    <x v="0"/>
    <n v="46.1"/>
    <n v="2012"/>
    <s v="Мертвые"/>
    <n v="1198600"/>
    <m/>
    <n v="1198600"/>
    <n v="-255443.37000000011"/>
    <n v="1454043.37"/>
    <x v="2"/>
  </r>
  <r>
    <x v="1"/>
    <x v="1"/>
    <n v="46.1"/>
    <n v="2013"/>
    <s v="пробл"/>
    <n v="1290800"/>
    <m/>
    <n v="1290800"/>
    <n v="-568273.94999999995"/>
    <n v="1859073.95"/>
    <x v="3"/>
  </r>
  <r>
    <x v="1"/>
    <x v="1"/>
    <n v="46.2"/>
    <n v="2013"/>
    <s v="пробл"/>
    <n v="1293600"/>
    <m/>
    <n v="1293600"/>
    <n v="0"/>
    <n v="1144096.83"/>
    <x v="4"/>
  </r>
  <r>
    <x v="2"/>
    <x v="2"/>
    <n v="60"/>
    <n v="2013"/>
    <s v="Мертвые"/>
    <n v="1500000"/>
    <m/>
    <n v="1500000"/>
    <n v="-125192.82000000007"/>
    <n v="1625192.82"/>
    <x v="5"/>
  </r>
  <r>
    <x v="2"/>
    <x v="3"/>
    <n v="46.7"/>
    <n v="2013"/>
    <s v="Мертвые"/>
    <n v="1167500"/>
    <m/>
    <n v="1167500"/>
    <n v="-107637.75"/>
    <n v="1275137.75"/>
    <x v="6"/>
  </r>
  <r>
    <x v="2"/>
    <x v="2"/>
    <n v="47.2"/>
    <n v="2013"/>
    <s v="Мертвые"/>
    <n v="1180000"/>
    <m/>
    <n v="1180000"/>
    <n v="-32541.100000000093"/>
    <n v="1212541.1000000001"/>
    <x v="7"/>
  </r>
  <r>
    <x v="2"/>
    <x v="3"/>
    <n v="59.6"/>
    <n v="2013"/>
    <s v="Мертвые"/>
    <n v="1490000"/>
    <m/>
    <n v="1490000"/>
    <n v="-124715.80000000005"/>
    <n v="1614715.8"/>
    <x v="8"/>
  </r>
  <r>
    <x v="3"/>
    <x v="4"/>
    <n v="59.2"/>
    <n v="2014"/>
    <s v="пробл"/>
    <n v="1539200"/>
    <n v="0.04"/>
    <n v="1477632"/>
    <n v="-164595.35000000009"/>
    <n v="1642227.35"/>
    <x v="9"/>
  </r>
  <r>
    <x v="0"/>
    <x v="5"/>
    <n v="47.8"/>
    <n v="2014"/>
    <s v="Мертвые"/>
    <n v="1242800"/>
    <n v="0.06"/>
    <n v="1168232"/>
    <n v="0"/>
    <n v="1104265.96"/>
    <x v="10"/>
  </r>
  <r>
    <x v="0"/>
    <x v="5"/>
    <n v="47.1"/>
    <n v="2014"/>
    <s v="Мертвые"/>
    <n v="1224600"/>
    <n v="0.06"/>
    <n v="1151124"/>
    <n v="0"/>
    <n v="1088493.21"/>
    <x v="11"/>
  </r>
  <r>
    <x v="0"/>
    <x v="5"/>
    <n v="46.7"/>
    <n v="2014"/>
    <s v="Мертвые"/>
    <n v="1214200"/>
    <n v="0.06"/>
    <n v="1141348"/>
    <n v="0"/>
    <n v="1078181.71"/>
    <x v="12"/>
  </r>
  <r>
    <x v="0"/>
    <x v="5"/>
    <n v="46.8"/>
    <n v="2014"/>
    <s v="Мертвые"/>
    <n v="1216800"/>
    <n v="0.06"/>
    <n v="1143792"/>
    <n v="0"/>
    <n v="1068753.73"/>
    <x v="13"/>
  </r>
  <r>
    <x v="0"/>
    <x v="5"/>
    <n v="47.2"/>
    <n v="2014"/>
    <s v="Мертвые"/>
    <n v="1227200"/>
    <n v="0.06"/>
    <n v="1153568"/>
    <n v="0"/>
    <n v="1077822.82"/>
    <x v="14"/>
  </r>
  <r>
    <x v="4"/>
    <x v="6"/>
    <n v="46.9"/>
    <n v="2014"/>
    <m/>
    <n v="1219400"/>
    <m/>
    <n v="1219400"/>
    <n v="0"/>
    <n v="1103458.81"/>
    <x v="15"/>
  </r>
  <r>
    <x v="4"/>
    <x v="6"/>
    <n v="46.3"/>
    <n v="2014"/>
    <m/>
    <n v="1203800"/>
    <n v="0.03"/>
    <n v="1167686"/>
    <n v="0"/>
    <n v="1106463.68"/>
    <x v="16"/>
  </r>
  <r>
    <x v="4"/>
    <x v="6"/>
    <n v="46.7"/>
    <n v="2014"/>
    <m/>
    <n v="1214200"/>
    <m/>
    <n v="1214200"/>
    <n v="0"/>
    <n v="1094093.6200000001"/>
    <x v="17"/>
  </r>
  <r>
    <x v="4"/>
    <x v="6"/>
    <n v="47.5"/>
    <n v="2014"/>
    <m/>
    <n v="1235000"/>
    <m/>
    <n v="1235000"/>
    <n v="0"/>
    <n v="1093432.5"/>
    <x v="18"/>
  </r>
  <r>
    <x v="4"/>
    <x v="6"/>
    <n v="47.1"/>
    <n v="2014"/>
    <m/>
    <n v="1224600"/>
    <m/>
    <n v="1224600"/>
    <n v="0"/>
    <n v="1093901.43"/>
    <x v="19"/>
  </r>
  <r>
    <x v="4"/>
    <x v="6"/>
    <n v="46.9"/>
    <n v="2014"/>
    <m/>
    <n v="1219400"/>
    <m/>
    <n v="1219400"/>
    <n v="0"/>
    <n v="1118550.8700000001"/>
    <x v="20"/>
  </r>
  <r>
    <x v="4"/>
    <x v="6"/>
    <n v="46.9"/>
    <n v="2014"/>
    <m/>
    <n v="1219400"/>
    <n v="0.03"/>
    <n v="1182818"/>
    <n v="0"/>
    <n v="1165052.93"/>
    <x v="21"/>
  </r>
  <r>
    <x v="5"/>
    <x v="7"/>
    <n v="51.8"/>
    <n v="2014"/>
    <s v="Мертвые"/>
    <n v="1139600"/>
    <m/>
    <n v="1139600"/>
    <n v="0"/>
    <n v="1124200"/>
    <x v="22"/>
  </r>
  <r>
    <x v="5"/>
    <x v="7"/>
    <n v="51.2"/>
    <n v="2014"/>
    <s v="Мертвые"/>
    <n v="1126400"/>
    <m/>
    <n v="1126400"/>
    <n v="0"/>
    <n v="1117600"/>
    <x v="23"/>
  </r>
  <r>
    <x v="5"/>
    <x v="7"/>
    <n v="51.6"/>
    <n v="2014"/>
    <s v="Мертвые"/>
    <n v="1135200"/>
    <m/>
    <n v="1135200"/>
    <n v="0"/>
    <n v="1115400"/>
    <x v="24"/>
  </r>
  <r>
    <x v="5"/>
    <x v="7"/>
    <n v="51.1"/>
    <n v="2014"/>
    <s v="Мертвые"/>
    <n v="1124200"/>
    <m/>
    <n v="1124200"/>
    <n v="0"/>
    <n v="1111000"/>
    <x v="25"/>
  </r>
  <r>
    <x v="5"/>
    <x v="7"/>
    <n v="51.5"/>
    <n v="2014"/>
    <s v="Мертвые"/>
    <n v="1133000"/>
    <m/>
    <n v="1133000"/>
    <n v="0"/>
    <n v="1119800"/>
    <x v="25"/>
  </r>
  <r>
    <x v="5"/>
    <x v="7"/>
    <n v="51.5"/>
    <n v="2014"/>
    <s v="Мертвые"/>
    <n v="1133000"/>
    <m/>
    <n v="1133000"/>
    <n v="0"/>
    <n v="1108800"/>
    <x v="26"/>
  </r>
  <r>
    <x v="5"/>
    <x v="7"/>
    <n v="51.4"/>
    <n v="2014"/>
    <s v="Мертвые"/>
    <n v="1130800"/>
    <m/>
    <n v="1130800"/>
    <n v="0"/>
    <n v="1117600"/>
    <x v="25"/>
  </r>
  <r>
    <x v="3"/>
    <x v="8"/>
    <n v="58.8"/>
    <n v="2015"/>
    <s v="пробл"/>
    <n v="1617000"/>
    <n v="6.5000000000000002E-2"/>
    <n v="1511895"/>
    <n v="-106977.1100000001"/>
    <n v="1618872.11"/>
    <x v="27"/>
  </r>
  <r>
    <x v="3"/>
    <x v="8"/>
    <n v="58.6"/>
    <n v="2015"/>
    <s v="пробл"/>
    <n v="1611500"/>
    <n v="6.5000000000000002E-2"/>
    <n v="1506752.5"/>
    <n v="-108401.10000000009"/>
    <n v="1615153.6"/>
    <x v="28"/>
  </r>
  <r>
    <x v="3"/>
    <x v="8"/>
    <n v="58.9"/>
    <n v="2015"/>
    <s v="пробл"/>
    <n v="1619750"/>
    <n v="6.5000000000000002E-2"/>
    <n v="1514466.25"/>
    <n v="-100687.34000000008"/>
    <n v="1615153.59"/>
    <x v="29"/>
  </r>
  <r>
    <x v="6"/>
    <x v="9"/>
    <n v="59.2"/>
    <n v="2015"/>
    <m/>
    <n v="1912160"/>
    <n v="0.04"/>
    <n v="1835673.6000000001"/>
    <n v="0"/>
    <n v="1786683.83"/>
    <x v="30"/>
  </r>
  <r>
    <x v="7"/>
    <x v="10"/>
    <n v="60.5"/>
    <n v="2015"/>
    <m/>
    <n v="1754500"/>
    <n v="0.12"/>
    <n v="1543960"/>
    <n v="-115960.10000000009"/>
    <n v="1659920.1"/>
    <x v="31"/>
  </r>
  <r>
    <x v="8"/>
    <x v="11"/>
    <n v="47.5"/>
    <n v="2015"/>
    <s v="Мертвые"/>
    <n v="1282500"/>
    <n v="0.1"/>
    <n v="1154250"/>
    <n v="-92459.290000000037"/>
    <n v="1246709.29"/>
    <x v="32"/>
  </r>
  <r>
    <x v="8"/>
    <x v="11"/>
    <n v="47.3"/>
    <n v="2015"/>
    <s v="Мертвые"/>
    <n v="1277100"/>
    <n v="0.1"/>
    <n v="1149390"/>
    <n v="-60069.290000000037"/>
    <n v="1209459.29"/>
    <x v="33"/>
  </r>
  <r>
    <x v="8"/>
    <x v="11"/>
    <n v="47.4"/>
    <n v="2015"/>
    <s v="Мертвые"/>
    <n v="1279800"/>
    <n v="0.1"/>
    <n v="1151820"/>
    <n v="-57639.290000000037"/>
    <n v="1209459.29"/>
    <x v="34"/>
  </r>
  <r>
    <x v="9"/>
    <x v="12"/>
    <n v="48.3"/>
    <n v="2015"/>
    <m/>
    <n v="1352400"/>
    <n v="0.1"/>
    <n v="1217160"/>
    <n v="-61407.449999999953"/>
    <n v="1278567.45"/>
    <x v="35"/>
  </r>
  <r>
    <x v="10"/>
    <x v="13"/>
    <n v="72.400000000000006"/>
    <n v="2015"/>
    <m/>
    <n v="2027200.0000000002"/>
    <n v="0.16"/>
    <n v="1702848.0000000002"/>
    <n v="-176217.7899999998"/>
    <n v="1879065.79"/>
    <x v="36"/>
  </r>
  <r>
    <x v="10"/>
    <x v="13"/>
    <n v="72.3"/>
    <n v="2015"/>
    <m/>
    <n v="2024400"/>
    <n v="0.16"/>
    <n v="1700496"/>
    <n v="-128114.48999999999"/>
    <n v="1828610.49"/>
    <x v="37"/>
  </r>
  <r>
    <x v="11"/>
    <x v="14"/>
    <n v="36.6"/>
    <n v="2015"/>
    <s v="Мертвые"/>
    <n v="1024800"/>
    <m/>
    <n v="1024800"/>
    <n v="-34133.860000000102"/>
    <n v="1058933.8600000001"/>
    <x v="38"/>
  </r>
  <r>
    <x v="11"/>
    <x v="14"/>
    <n v="60.1"/>
    <n v="2015"/>
    <s v="Мертвые"/>
    <n v="1682800"/>
    <n v="0.02"/>
    <n v="1649144"/>
    <n v="-156775.49"/>
    <n v="1805919.49"/>
    <x v="39"/>
  </r>
  <r>
    <x v="12"/>
    <x v="15"/>
    <n v="60"/>
    <n v="2015"/>
    <m/>
    <n v="1902000"/>
    <m/>
    <n v="1902000"/>
    <n v="0"/>
    <n v="1699330.98"/>
    <x v="40"/>
  </r>
  <r>
    <x v="12"/>
    <x v="15"/>
    <n v="60.8"/>
    <n v="2015"/>
    <m/>
    <n v="1927360"/>
    <m/>
    <n v="1927360"/>
    <n v="0"/>
    <n v="1699330.98"/>
    <x v="41"/>
  </r>
  <r>
    <x v="12"/>
    <x v="15"/>
    <n v="60.2"/>
    <n v="2015"/>
    <m/>
    <n v="1908340"/>
    <m/>
    <n v="1908340"/>
    <n v="0"/>
    <n v="1699330.98"/>
    <x v="42"/>
  </r>
  <r>
    <x v="12"/>
    <x v="15"/>
    <n v="48.3"/>
    <n v="2015"/>
    <m/>
    <n v="1531110"/>
    <m/>
    <n v="1531110"/>
    <n v="0"/>
    <n v="1346045.34"/>
    <x v="43"/>
  </r>
  <r>
    <x v="12"/>
    <x v="15"/>
    <n v="47.2"/>
    <n v="2015"/>
    <m/>
    <n v="1496240"/>
    <m/>
    <n v="1496240"/>
    <n v="0"/>
    <n v="1346045.34"/>
    <x v="44"/>
  </r>
  <r>
    <x v="12"/>
    <x v="15"/>
    <n v="47.1"/>
    <n v="2015"/>
    <m/>
    <n v="1493070"/>
    <m/>
    <n v="1493070"/>
    <n v="0"/>
    <n v="1346045.33"/>
    <x v="45"/>
  </r>
  <r>
    <x v="13"/>
    <x v="16"/>
    <n v="48.3"/>
    <n v="2015"/>
    <s v="Мертвые"/>
    <n v="1328250"/>
    <n v="0.08"/>
    <n v="1221990"/>
    <n v="-53157.159999999916"/>
    <n v="1275147.1599999999"/>
    <x v="46"/>
  </r>
  <r>
    <x v="13"/>
    <x v="16"/>
    <n v="48.1"/>
    <n v="2015"/>
    <s v="Мертвые"/>
    <n v="1322750"/>
    <n v="0.08"/>
    <n v="1216930"/>
    <n v="-56390.030000000028"/>
    <n v="1273320.03"/>
    <x v="47"/>
  </r>
  <r>
    <x v="13"/>
    <x v="16"/>
    <n v="47.7"/>
    <n v="2015"/>
    <s v="Мертвые"/>
    <n v="1311750"/>
    <n v="0.08"/>
    <n v="1206810"/>
    <n v="-68337.159999999916"/>
    <n v="1275147.1599999999"/>
    <x v="48"/>
  </r>
  <r>
    <x v="13"/>
    <x v="16"/>
    <n v="47.8"/>
    <n v="2015"/>
    <s v="Мертвые"/>
    <n v="1314500"/>
    <n v="0.08"/>
    <n v="1209340"/>
    <n v="-65807.159999999916"/>
    <n v="1275147.1599999999"/>
    <x v="49"/>
  </r>
  <r>
    <x v="13"/>
    <x v="16"/>
    <n v="48.1"/>
    <n v="2015"/>
    <s v="Мертвые"/>
    <n v="1322750"/>
    <n v="0.08"/>
    <n v="1216930"/>
    <n v="-56390.030000000028"/>
    <n v="1273320.03"/>
    <x v="47"/>
  </r>
  <r>
    <x v="13"/>
    <x v="16"/>
    <n v="47.9"/>
    <n v="2015"/>
    <s v="Мертвые"/>
    <n v="1317250"/>
    <n v="0.08"/>
    <n v="1211870"/>
    <n v="-52575.419999999925"/>
    <n v="1264445.42"/>
    <x v="50"/>
  </r>
  <r>
    <x v="13"/>
    <x v="16"/>
    <n v="48.2"/>
    <n v="2015"/>
    <s v="Мертвые"/>
    <n v="1325500"/>
    <n v="0.08"/>
    <n v="1219460"/>
    <n v="-50173.610000000102"/>
    <n v="1269633.6100000001"/>
    <x v="51"/>
  </r>
  <r>
    <x v="14"/>
    <x v="17"/>
    <n v="47.6"/>
    <n v="2015"/>
    <s v="пробл"/>
    <n v="1475600"/>
    <n v="0.15"/>
    <n v="1254260"/>
    <n v="-45457.300000000047"/>
    <n v="1299717.3"/>
    <x v="52"/>
  </r>
  <r>
    <x v="14"/>
    <x v="17"/>
    <n v="47.9"/>
    <n v="2015"/>
    <s v="пробл"/>
    <n v="1484900"/>
    <n v="0.16"/>
    <n v="1247316"/>
    <n v="-52401.300000000047"/>
    <n v="1299717.3"/>
    <x v="53"/>
  </r>
  <r>
    <x v="14"/>
    <x v="17"/>
    <n v="47.2"/>
    <n v="2015"/>
    <s v="пробл"/>
    <n v="1463200"/>
    <n v="0.15"/>
    <n v="1243720"/>
    <n v="-55997.300000000047"/>
    <n v="1299717.3"/>
    <x v="54"/>
  </r>
  <r>
    <x v="14"/>
    <x v="17"/>
    <n v="47.6"/>
    <n v="2015"/>
    <s v="пробл"/>
    <n v="1475600"/>
    <n v="0.1"/>
    <n v="1328040"/>
    <n v="0"/>
    <n v="1299717.3"/>
    <x v="55"/>
  </r>
  <r>
    <x v="14"/>
    <x v="17"/>
    <n v="32.200000000000003"/>
    <n v="2015"/>
    <s v="пробл"/>
    <n v="998200.00000000012"/>
    <n v="0.1"/>
    <n v="898380.00000000012"/>
    <n v="0"/>
    <n v="887639.64"/>
    <x v="56"/>
  </r>
  <r>
    <x v="14"/>
    <x v="17"/>
    <n v="35.5"/>
    <n v="2015"/>
    <s v="пробл"/>
    <n v="1100500"/>
    <n v="0.1"/>
    <n v="990450"/>
    <n v="0"/>
    <n v="970608.3"/>
    <x v="57"/>
  </r>
  <r>
    <x v="14"/>
    <x v="17"/>
    <n v="34.299999999999997"/>
    <n v="2015"/>
    <s v="пробл"/>
    <n v="1063300"/>
    <n v="0.1"/>
    <n v="956970"/>
    <n v="0"/>
    <n v="937420.79"/>
    <x v="58"/>
  </r>
  <r>
    <x v="10"/>
    <x v="18"/>
    <n v="55.2"/>
    <n v="2015"/>
    <m/>
    <n v="1545600"/>
    <n v="0.06"/>
    <n v="1452864"/>
    <n v="-105219.91999999993"/>
    <n v="1558083.92"/>
    <x v="59"/>
  </r>
  <r>
    <x v="10"/>
    <x v="18"/>
    <n v="74"/>
    <n v="2015"/>
    <m/>
    <n v="2072000"/>
    <n v="0.1"/>
    <n v="1864800"/>
    <n v="-156030.25"/>
    <n v="2020830.25"/>
    <x v="60"/>
  </r>
  <r>
    <x v="10"/>
    <x v="18"/>
    <n v="74.099999999999994"/>
    <n v="2015"/>
    <m/>
    <n v="2074799.9999999998"/>
    <n v="0.1"/>
    <n v="1867319.9999999998"/>
    <n v="-153510.25000000023"/>
    <n v="2020830.25"/>
    <x v="61"/>
  </r>
  <r>
    <x v="10"/>
    <x v="18"/>
    <n v="74.2"/>
    <n v="2015"/>
    <m/>
    <n v="2077600"/>
    <n v="0.1"/>
    <n v="1869840"/>
    <n v="-150990.25"/>
    <n v="2020830.25"/>
    <x v="62"/>
  </r>
  <r>
    <x v="15"/>
    <x v="19"/>
    <n v="60.2"/>
    <n v="2016"/>
    <s v="пробл"/>
    <n v="1655500"/>
    <n v="7.0000000000000007E-2"/>
    <n v="1539615"/>
    <n v="-100798.90999999992"/>
    <n v="1640413.91"/>
    <x v="63"/>
  </r>
  <r>
    <x v="16"/>
    <x v="20"/>
    <n v="51"/>
    <n v="2016"/>
    <s v="Мертвые"/>
    <n v="1428000"/>
    <n v="0.11"/>
    <n v="1270920"/>
    <n v="-56326.729999999981"/>
    <n v="1327246.73"/>
    <x v="64"/>
  </r>
  <r>
    <x v="16"/>
    <x v="20"/>
    <n v="49.3"/>
    <n v="2016"/>
    <s v="Мертвые"/>
    <n v="1380400"/>
    <n v="0.11"/>
    <n v="1228556"/>
    <n v="-98690.729999999981"/>
    <n v="1327246.73"/>
    <x v="65"/>
  </r>
  <r>
    <x v="16"/>
    <x v="20"/>
    <n v="49.2"/>
    <n v="2016"/>
    <s v="Мертвые"/>
    <n v="1377600"/>
    <n v="0.11"/>
    <n v="1226064"/>
    <n v="-101182.72999999998"/>
    <n v="1327246.73"/>
    <x v="66"/>
  </r>
  <r>
    <x v="16"/>
    <x v="20"/>
    <n v="49.4"/>
    <n v="2016"/>
    <s v="Мертвые"/>
    <n v="1383200"/>
    <n v="0.11"/>
    <n v="1231048"/>
    <n v="-96198.729999999981"/>
    <n v="1327246.73"/>
    <x v="67"/>
  </r>
  <r>
    <x v="16"/>
    <x v="20"/>
    <n v="51.3"/>
    <n v="2016"/>
    <s v="Мертвые"/>
    <n v="1436400"/>
    <n v="0.12"/>
    <n v="1264032"/>
    <n v="-63214.729999999981"/>
    <n v="1327246.73"/>
    <x v="68"/>
  </r>
  <r>
    <x v="16"/>
    <x v="20"/>
    <n v="49.7"/>
    <n v="2016"/>
    <s v="Мертвые"/>
    <n v="1391600"/>
    <n v="0.11"/>
    <n v="1238524"/>
    <n v="-82289.010000000009"/>
    <n v="1320813.01"/>
    <x v="69"/>
  </r>
  <r>
    <x v="17"/>
    <x v="21"/>
    <n v="48.1"/>
    <n v="2016"/>
    <s v="Мертвые"/>
    <n v="1539200"/>
    <m/>
    <n v="1539200"/>
    <n v="0"/>
    <n v="1472390.04"/>
    <x v="70"/>
  </r>
  <r>
    <x v="17"/>
    <x v="21"/>
    <n v="48.1"/>
    <n v="2016"/>
    <s v="Мертвые"/>
    <n v="1539200"/>
    <m/>
    <n v="1539200"/>
    <n v="0"/>
    <n v="1472390.04"/>
    <x v="70"/>
  </r>
  <r>
    <x v="17"/>
    <x v="21"/>
    <n v="62.2"/>
    <n v="2016"/>
    <s v="Мертвые"/>
    <n v="1990400"/>
    <m/>
    <n v="1990400"/>
    <n v="-14037.629999999888"/>
    <n v="2004437.63"/>
    <x v="71"/>
  </r>
  <r>
    <x v="17"/>
    <x v="21"/>
    <n v="48.6"/>
    <n v="2016"/>
    <s v="Мертвые"/>
    <n v="1555200"/>
    <m/>
    <n v="1555200"/>
    <n v="0"/>
    <n v="1516883.2"/>
    <x v="72"/>
  </r>
  <r>
    <x v="17"/>
    <x v="21"/>
    <n v="63.3"/>
    <n v="2016"/>
    <s v="Мертвые"/>
    <n v="2025600"/>
    <m/>
    <n v="2025600"/>
    <n v="0"/>
    <n v="1951792.2"/>
    <x v="73"/>
  </r>
  <r>
    <x v="17"/>
    <x v="21"/>
    <n v="48.9"/>
    <n v="2016"/>
    <s v="Мертвые"/>
    <n v="1564800"/>
    <m/>
    <n v="1564800"/>
    <n v="0"/>
    <n v="1552134.75"/>
    <x v="74"/>
  </r>
  <r>
    <x v="18"/>
    <x v="22"/>
    <n v="44.7"/>
    <n v="2016"/>
    <m/>
    <n v="1296300"/>
    <n v="0.05"/>
    <n v="1231485"/>
    <n v="-45357.149999999907"/>
    <n v="1276842.1499999999"/>
    <x v="75"/>
  </r>
  <r>
    <x v="18"/>
    <x v="22"/>
    <n v="44.5"/>
    <n v="2016"/>
    <m/>
    <n v="1290500"/>
    <n v="0.05"/>
    <n v="1225975"/>
    <n v="-50867.149999999907"/>
    <n v="1276842.1499999999"/>
    <x v="76"/>
  </r>
  <r>
    <x v="18"/>
    <x v="22"/>
    <n v="44.6"/>
    <n v="2016"/>
    <m/>
    <n v="1293400"/>
    <n v="0.05"/>
    <n v="1228730"/>
    <n v="-48112.149999999907"/>
    <n v="1276842.1499999999"/>
    <x v="77"/>
  </r>
  <r>
    <x v="18"/>
    <x v="22"/>
    <n v="44.6"/>
    <n v="2016"/>
    <m/>
    <n v="1293400"/>
    <n v="0.05"/>
    <n v="1228730"/>
    <n v="-48112.149999999907"/>
    <n v="1276842.1499999999"/>
    <x v="77"/>
  </r>
  <r>
    <x v="18"/>
    <x v="22"/>
    <n v="44.6"/>
    <n v="2016"/>
    <m/>
    <n v="1293400"/>
    <n v="0.05"/>
    <n v="1228730"/>
    <n v="-48112.149999999907"/>
    <n v="1276842.1499999999"/>
    <x v="77"/>
  </r>
  <r>
    <x v="18"/>
    <x v="22"/>
    <n v="44.6"/>
    <n v="2016"/>
    <m/>
    <n v="1293400"/>
    <n v="0.05"/>
    <n v="1228730"/>
    <n v="-69310.860000000102"/>
    <n v="1298040.8600000001"/>
    <x v="78"/>
  </r>
  <r>
    <x v="18"/>
    <x v="23"/>
    <n v="49"/>
    <n v="2016"/>
    <m/>
    <n v="1421000"/>
    <n v="0.08"/>
    <n v="1307320"/>
    <n v="-21723.070000000065"/>
    <n v="1329043.07"/>
    <x v="79"/>
  </r>
  <r>
    <x v="18"/>
    <x v="23"/>
    <n v="48.4"/>
    <n v="2016"/>
    <m/>
    <n v="1403600"/>
    <n v="0.08"/>
    <n v="1291312"/>
    <n v="-44731.070000000065"/>
    <n v="1336043.07"/>
    <x v="80"/>
  </r>
  <r>
    <x v="19"/>
    <x v="24"/>
    <n v="32.200000000000003"/>
    <n v="2016"/>
    <m/>
    <n v="966000.00000000012"/>
    <m/>
    <n v="966000.00000000012"/>
    <n v="0"/>
    <n v="956129.53"/>
    <x v="81"/>
  </r>
  <r>
    <x v="20"/>
    <x v="25"/>
    <n v="31.4"/>
    <n v="2016"/>
    <m/>
    <n v="920020"/>
    <m/>
    <n v="920020"/>
    <n v="-3171.3999999999069"/>
    <n v="923191.39999999991"/>
    <x v="82"/>
  </r>
  <r>
    <x v="21"/>
    <x v="26"/>
    <n v="47"/>
    <n v="2016"/>
    <m/>
    <n v="1508700"/>
    <m/>
    <n v="1508700"/>
    <n v="0"/>
    <n v="1283794.75"/>
    <x v="83"/>
  </r>
  <r>
    <x v="21"/>
    <x v="26"/>
    <n v="47.1"/>
    <n v="2016"/>
    <m/>
    <n v="1511910"/>
    <m/>
    <n v="1511910"/>
    <n v="0"/>
    <n v="1283837.73"/>
    <x v="84"/>
  </r>
  <r>
    <x v="21"/>
    <x v="26"/>
    <n v="47.1"/>
    <n v="2016"/>
    <m/>
    <n v="1511910"/>
    <n v="0.15"/>
    <n v="1285123.5"/>
    <n v="0"/>
    <n v="1283838.73"/>
    <x v="85"/>
  </r>
  <r>
    <x v="22"/>
    <x v="27"/>
    <n v="28.5"/>
    <n v="2016"/>
    <m/>
    <n v="1060200"/>
    <m/>
    <n v="1060200"/>
    <n v="0"/>
    <n v="968039.76"/>
    <x v="86"/>
  </r>
  <r>
    <x v="23"/>
    <x v="28"/>
    <n v="58"/>
    <n v="2016"/>
    <m/>
    <n v="1856000"/>
    <m/>
    <n v="1856000"/>
    <n v="0"/>
    <n v="1705835.23"/>
    <x v="87"/>
  </r>
  <r>
    <x v="1"/>
    <x v="29"/>
    <n v="35.700000000000003"/>
    <n v="2016"/>
    <s v="пробл"/>
    <n v="1142400"/>
    <n v="0.08"/>
    <n v="1051008"/>
    <n v="0"/>
    <n v="1019704.61"/>
    <x v="88"/>
  </r>
  <r>
    <x v="1"/>
    <x v="29"/>
    <n v="50.8"/>
    <n v="2016"/>
    <s v="пробл"/>
    <n v="1625600"/>
    <n v="0.1"/>
    <n v="1463040"/>
    <n v="0"/>
    <n v="1449121.13"/>
    <x v="89"/>
  </r>
  <r>
    <x v="1"/>
    <x v="29"/>
    <n v="50.6"/>
    <n v="2016"/>
    <s v="пробл"/>
    <n v="1619200"/>
    <n v="0.1"/>
    <n v="1457280"/>
    <n v="0"/>
    <n v="1449121.13"/>
    <x v="90"/>
  </r>
  <r>
    <x v="1"/>
    <x v="29"/>
    <n v="50.6"/>
    <n v="2016"/>
    <s v="пробл"/>
    <n v="1619200"/>
    <n v="0.1"/>
    <n v="1457280"/>
    <n v="0"/>
    <n v="1449121.13"/>
    <x v="90"/>
  </r>
  <r>
    <x v="1"/>
    <x v="29"/>
    <n v="34.9"/>
    <n v="2016"/>
    <s v="пробл"/>
    <n v="1116800"/>
    <n v="7.0000000000000007E-2"/>
    <n v="1038624"/>
    <n v="0"/>
    <n v="1019704.61"/>
    <x v="91"/>
  </r>
  <r>
    <x v="1"/>
    <x v="29"/>
    <n v="34.9"/>
    <n v="2016"/>
    <s v="пробл"/>
    <n v="1116800"/>
    <n v="7.0000000000000007E-2"/>
    <n v="1038624"/>
    <n v="0"/>
    <n v="1019704.61"/>
    <x v="91"/>
  </r>
  <r>
    <x v="1"/>
    <x v="29"/>
    <n v="30.5"/>
    <n v="2016"/>
    <s v="пробл"/>
    <n v="976000"/>
    <m/>
    <n v="976000"/>
    <n v="-83587.600000000093"/>
    <n v="1059587.6000000001"/>
    <x v="92"/>
  </r>
  <r>
    <x v="1"/>
    <x v="29"/>
    <n v="35"/>
    <n v="2016"/>
    <s v="пробл"/>
    <n v="1120000"/>
    <n v="7.0000000000000007E-2"/>
    <n v="1041600"/>
    <n v="0"/>
    <n v="1019704.61"/>
    <x v="93"/>
  </r>
  <r>
    <x v="1"/>
    <x v="29"/>
    <n v="33.4"/>
    <n v="2016"/>
    <s v="пробл"/>
    <n v="1068800"/>
    <n v="7.0000000000000007E-2"/>
    <n v="993984"/>
    <n v="0"/>
    <n v="990883.33"/>
    <x v="94"/>
  </r>
  <r>
    <x v="24"/>
    <x v="30"/>
    <n v="75.400000000000006"/>
    <n v="2016"/>
    <m/>
    <n v="2148900"/>
    <n v="0.11"/>
    <n v="1912521"/>
    <n v="-141669.55000000005"/>
    <n v="2054190.55"/>
    <x v="95"/>
  </r>
  <r>
    <x v="24"/>
    <x v="30"/>
    <n v="75.5"/>
    <n v="2016"/>
    <m/>
    <n v="2151750"/>
    <n v="0.11"/>
    <n v="1915057.5"/>
    <n v="-137133.05000000005"/>
    <n v="2052190.55"/>
    <x v="96"/>
  </r>
  <r>
    <x v="24"/>
    <x v="30"/>
    <n v="63.6"/>
    <n v="2016"/>
    <m/>
    <n v="1812600"/>
    <n v="0.11"/>
    <n v="1613214"/>
    <n v="-103576.85000000009"/>
    <n v="1716790.85"/>
    <x v="97"/>
  </r>
  <r>
    <x v="24"/>
    <x v="30"/>
    <n v="75.7"/>
    <n v="2016"/>
    <m/>
    <n v="2157450"/>
    <n v="0.11"/>
    <n v="1920130.5"/>
    <n v="-132060.05000000005"/>
    <n v="2052190.55"/>
    <x v="98"/>
  </r>
  <r>
    <x v="25"/>
    <x v="31"/>
    <n v="66.7"/>
    <n v="2016"/>
    <s v="Мертвые"/>
    <n v="1934300"/>
    <n v="0.15"/>
    <n v="1644155"/>
    <n v="-70589.439999999944"/>
    <n v="1714744.44"/>
    <x v="99"/>
  </r>
  <r>
    <x v="25"/>
    <x v="31"/>
    <n v="49.6"/>
    <n v="2016"/>
    <s v="Мертвые"/>
    <n v="1438400"/>
    <n v="0.12"/>
    <n v="1265792"/>
    <n v="-54376.260000000009"/>
    <n v="1320168.26"/>
    <x v="100"/>
  </r>
  <r>
    <x v="25"/>
    <x v="31"/>
    <n v="49.5"/>
    <n v="2016"/>
    <s v="Мертвые"/>
    <n v="1435500"/>
    <n v="0.12"/>
    <n v="1263240"/>
    <n v="-56928.260000000009"/>
    <n v="1320168.26"/>
    <x v="101"/>
  </r>
  <r>
    <x v="25"/>
    <x v="31"/>
    <n v="66"/>
    <n v="2016"/>
    <s v="Мертвые"/>
    <n v="1914000"/>
    <n v="0.15"/>
    <n v="1626900"/>
    <n v="-87844.439999999944"/>
    <n v="1714744.44"/>
    <x v="102"/>
  </r>
  <r>
    <x v="25"/>
    <x v="31"/>
    <n v="60.1"/>
    <n v="2016"/>
    <s v="Мертвые"/>
    <n v="1742900"/>
    <n v="0.12"/>
    <n v="1533752"/>
    <n v="-128185.70999999996"/>
    <n v="1661937.71"/>
    <x v="103"/>
  </r>
  <r>
    <x v="25"/>
    <x v="31"/>
    <n v="50.2"/>
    <n v="2016"/>
    <s v="Мертвые"/>
    <n v="1455800"/>
    <n v="0.15"/>
    <n v="1237430"/>
    <n v="-82738.260000000009"/>
    <n v="1320168.26"/>
    <x v="104"/>
  </r>
  <r>
    <x v="25"/>
    <x v="31"/>
    <n v="60.1"/>
    <n v="2016"/>
    <s v="Мертвые"/>
    <n v="1742900"/>
    <n v="0.15"/>
    <n v="1481465"/>
    <n v="-180472.70999999996"/>
    <n v="1661937.71"/>
    <x v="105"/>
  </r>
  <r>
    <x v="25"/>
    <x v="31"/>
    <n v="49.6"/>
    <n v="2016"/>
    <s v="Мертвые"/>
    <n v="1438400"/>
    <n v="0.08"/>
    <n v="1323328"/>
    <n v="-68723.860000000102"/>
    <n v="1392051.86"/>
    <x v="10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2" cacheId="20" applyNumberFormats="0" applyBorderFormats="0" applyFontFormats="0" applyPatternFormats="0" applyAlignmentFormats="0" applyWidthHeightFormats="1" dataCaption="Данные" updatedVersion="3" showMemberPropertyTips="0" useAutoFormatting="1" itemPrintTitles="1" createdVersion="1" indent="0" compact="0" compactData="0" gridDropZones="1">
  <location ref="A3:E30" firstHeaderRow="1" firstDataRow="2" firstDataCol="1"/>
  <pivotFields count="16">
    <pivotField compact="0" outline="0" subtotalTop="0" showAll="0" includeNewItemsInFilter="1">
      <items count="239">
        <item x="10"/>
        <item x="12"/>
        <item x="9"/>
        <item x="11"/>
        <item x="8"/>
        <item x="19"/>
        <item x="18"/>
        <item x="17"/>
        <item x="132"/>
        <item x="131"/>
        <item x="133"/>
        <item x="130"/>
        <item x="223"/>
        <item x="222"/>
        <item x="41"/>
        <item x="42"/>
        <item x="43"/>
        <item x="45"/>
        <item x="44"/>
        <item x="50"/>
        <item x="48"/>
        <item x="47"/>
        <item x="49"/>
        <item x="46"/>
        <item x="62"/>
        <item x="63"/>
        <item x="64"/>
        <item x="58"/>
        <item x="61"/>
        <item x="59"/>
        <item x="0"/>
        <item x="1"/>
        <item x="2"/>
        <item x="3"/>
        <item x="4"/>
        <item x="220"/>
        <item x="221"/>
        <item x="5"/>
        <item x="6"/>
        <item x="7"/>
        <item x="60"/>
        <item x="141"/>
        <item x="154"/>
        <item x="156"/>
        <item x="159"/>
        <item x="158"/>
        <item x="143"/>
        <item x="150"/>
        <item x="147"/>
        <item x="151"/>
        <item x="140"/>
        <item x="139"/>
        <item x="134"/>
        <item x="149"/>
        <item x="153"/>
        <item x="155"/>
        <item x="136"/>
        <item x="157"/>
        <item x="148"/>
        <item x="146"/>
        <item x="135"/>
        <item x="137"/>
        <item x="144"/>
        <item x="138"/>
        <item x="152"/>
        <item x="160"/>
        <item x="142"/>
        <item x="145"/>
        <item x="71"/>
        <item x="83"/>
        <item x="74"/>
        <item x="87"/>
        <item x="90"/>
        <item x="72"/>
        <item x="78"/>
        <item x="86"/>
        <item x="79"/>
        <item x="88"/>
        <item x="85"/>
        <item x="76"/>
        <item x="80"/>
        <item x="67"/>
        <item x="77"/>
        <item x="65"/>
        <item x="82"/>
        <item x="66"/>
        <item x="89"/>
        <item x="84"/>
        <item x="73"/>
        <item x="81"/>
        <item x="69"/>
        <item x="70"/>
        <item x="68"/>
        <item x="75"/>
        <item x="169"/>
        <item x="163"/>
        <item x="161"/>
        <item x="164"/>
        <item x="168"/>
        <item x="165"/>
        <item x="166"/>
        <item x="167"/>
        <item x="170"/>
        <item x="162"/>
        <item x="26"/>
        <item x="36"/>
        <item x="32"/>
        <item x="35"/>
        <item x="29"/>
        <item x="31"/>
        <item x="24"/>
        <item x="38"/>
        <item x="33"/>
        <item x="39"/>
        <item x="20"/>
        <item x="25"/>
        <item x="37"/>
        <item x="22"/>
        <item x="21"/>
        <item x="40"/>
        <item x="23"/>
        <item x="27"/>
        <item x="30"/>
        <item x="28"/>
        <item x="34"/>
        <item x="184"/>
        <item x="206"/>
        <item x="190"/>
        <item x="192"/>
        <item x="204"/>
        <item x="199"/>
        <item x="210"/>
        <item x="202"/>
        <item x="183"/>
        <item x="200"/>
        <item x="207"/>
        <item x="195"/>
        <item x="196"/>
        <item x="203"/>
        <item x="172"/>
        <item x="189"/>
        <item x="173"/>
        <item x="188"/>
        <item x="171"/>
        <item x="197"/>
        <item x="209"/>
        <item x="211"/>
        <item x="174"/>
        <item x="175"/>
        <item x="201"/>
        <item x="186"/>
        <item x="205"/>
        <item x="177"/>
        <item x="208"/>
        <item x="187"/>
        <item x="198"/>
        <item x="179"/>
        <item x="176"/>
        <item x="193"/>
        <item x="178"/>
        <item x="185"/>
        <item x="180"/>
        <item x="181"/>
        <item x="194"/>
        <item x="182"/>
        <item x="191"/>
        <item x="126"/>
        <item x="111"/>
        <item x="121"/>
        <item x="128"/>
        <item x="114"/>
        <item x="116"/>
        <item x="113"/>
        <item x="109"/>
        <item x="110"/>
        <item x="125"/>
        <item x="115"/>
        <item x="117"/>
        <item x="118"/>
        <item x="120"/>
        <item x="123"/>
        <item x="127"/>
        <item x="112"/>
        <item x="119"/>
        <item x="108"/>
        <item x="129"/>
        <item x="124"/>
        <item x="122"/>
        <item x="212"/>
        <item x="217"/>
        <item x="215"/>
        <item x="216"/>
        <item x="219"/>
        <item x="213"/>
        <item x="214"/>
        <item x="218"/>
        <item x="106"/>
        <item x="104"/>
        <item x="98"/>
        <item x="95"/>
        <item x="107"/>
        <item x="92"/>
        <item x="91"/>
        <item x="97"/>
        <item x="102"/>
        <item x="100"/>
        <item x="94"/>
        <item x="93"/>
        <item x="99"/>
        <item x="96"/>
        <item x="105"/>
        <item x="103"/>
        <item x="101"/>
        <item x="52"/>
        <item x="51"/>
        <item x="57"/>
        <item x="53"/>
        <item x="56"/>
        <item x="55"/>
        <item x="54"/>
        <item x="235"/>
        <item x="234"/>
        <item x="236"/>
        <item x="230"/>
        <item x="225"/>
        <item x="229"/>
        <item x="237"/>
        <item x="226"/>
        <item x="224"/>
        <item x="228"/>
        <item x="232"/>
        <item x="227"/>
        <item x="233"/>
        <item x="231"/>
        <item x="15"/>
        <item x="16"/>
        <item x="14"/>
        <item x="13"/>
        <item t="default"/>
      </items>
    </pivotField>
    <pivotField dataField="1" compact="0" outline="0" subtotalTop="0" showAll="0" includeNewItemsInFilter="1">
      <items count="438">
        <item x="436"/>
        <item x="386"/>
        <item x="383"/>
        <item x="302"/>
        <item x="291"/>
        <item x="385"/>
        <item x="105"/>
        <item x="31"/>
        <item x="137"/>
        <item x="202"/>
        <item x="221"/>
        <item x="373"/>
        <item x="303"/>
        <item x="365"/>
        <item x="30"/>
        <item x="64"/>
        <item x="66"/>
        <item x="434"/>
        <item x="108"/>
        <item x="182"/>
        <item x="61"/>
        <item x="112"/>
        <item x="218"/>
        <item x="279"/>
        <item x="402"/>
        <item x="115"/>
        <item x="247"/>
        <item x="23"/>
        <item x="93"/>
        <item x="127"/>
        <item x="155"/>
        <item x="262"/>
        <item x="300"/>
        <item x="360"/>
        <item x="428"/>
        <item x="158"/>
        <item x="73"/>
        <item x="390"/>
        <item x="412"/>
        <item x="290"/>
        <item x="378"/>
        <item x="56"/>
        <item x="237"/>
        <item x="377"/>
        <item x="420"/>
        <item x="369"/>
        <item x="71"/>
        <item x="58"/>
        <item x="178"/>
        <item x="2"/>
        <item x="198"/>
        <item x="9"/>
        <item x="249"/>
        <item x="132"/>
        <item x="421"/>
        <item x="297"/>
        <item x="307"/>
        <item x="260"/>
        <item x="348"/>
        <item x="5"/>
        <item x="271"/>
        <item x="422"/>
        <item x="372"/>
        <item x="38"/>
        <item x="248"/>
        <item x="26"/>
        <item x="104"/>
        <item x="411"/>
        <item x="133"/>
        <item x="337"/>
        <item x="19"/>
        <item x="355"/>
        <item x="147"/>
        <item x="14"/>
        <item x="175"/>
        <item x="90"/>
        <item x="92"/>
        <item x="46"/>
        <item x="62"/>
        <item x="54"/>
        <item x="35"/>
        <item x="285"/>
        <item x="171"/>
        <item x="36"/>
        <item x="424"/>
        <item x="88"/>
        <item x="413"/>
        <item x="57"/>
        <item x="328"/>
        <item x="233"/>
        <item x="311"/>
        <item x="298"/>
        <item x="273"/>
        <item x="148"/>
        <item x="321"/>
        <item x="34"/>
        <item x="141"/>
        <item x="220"/>
        <item x="306"/>
        <item x="216"/>
        <item x="3"/>
        <item x="403"/>
        <item x="106"/>
        <item x="68"/>
        <item x="275"/>
        <item x="48"/>
        <item x="201"/>
        <item x="210"/>
        <item x="79"/>
        <item x="208"/>
        <item x="304"/>
        <item x="346"/>
        <item x="43"/>
        <item x="6"/>
        <item x="331"/>
        <item x="407"/>
        <item x="354"/>
        <item x="228"/>
        <item x="81"/>
        <item x="283"/>
        <item x="232"/>
        <item x="317"/>
        <item x="17"/>
        <item x="274"/>
        <item x="315"/>
        <item x="272"/>
        <item x="401"/>
        <item x="134"/>
        <item x="423"/>
        <item x="83"/>
        <item x="281"/>
        <item x="154"/>
        <item x="358"/>
        <item x="42"/>
        <item x="95"/>
        <item x="336"/>
        <item x="186"/>
        <item x="113"/>
        <item x="229"/>
        <item x="184"/>
        <item x="91"/>
        <item x="353"/>
        <item x="1"/>
        <item x="320"/>
        <item x="21"/>
        <item x="181"/>
        <item x="180"/>
        <item x="130"/>
        <item x="144"/>
        <item x="40"/>
        <item x="65"/>
        <item x="139"/>
        <item x="222"/>
        <item x="84"/>
        <item x="136"/>
        <item x="305"/>
        <item x="39"/>
        <item x="138"/>
        <item x="27"/>
        <item x="287"/>
        <item x="78"/>
        <item x="135"/>
        <item x="50"/>
        <item x="379"/>
        <item x="128"/>
        <item x="76"/>
        <item x="45"/>
        <item x="129"/>
        <item x="41"/>
        <item x="183"/>
        <item x="86"/>
        <item x="200"/>
        <item x="77"/>
        <item x="173"/>
        <item x="345"/>
        <item x="25"/>
        <item x="20"/>
        <item x="49"/>
        <item x="32"/>
        <item x="131"/>
        <item x="60"/>
        <item x="430"/>
        <item x="215"/>
        <item x="187"/>
        <item x="69"/>
        <item x="425"/>
        <item x="258"/>
        <item x="70"/>
        <item x="118"/>
        <item x="251"/>
        <item x="343"/>
        <item x="255"/>
        <item x="149"/>
        <item x="67"/>
        <item x="24"/>
        <item x="342"/>
        <item x="190"/>
        <item x="326"/>
        <item x="44"/>
        <item x="332"/>
        <item x="288"/>
        <item x="72"/>
        <item x="123"/>
        <item x="168"/>
        <item x="22"/>
        <item x="8"/>
        <item x="12"/>
        <item x="172"/>
        <item x="256"/>
        <item x="351"/>
        <item x="227"/>
        <item x="29"/>
        <item x="140"/>
        <item x="371"/>
        <item x="193"/>
        <item x="37"/>
        <item x="52"/>
        <item x="406"/>
        <item x="160"/>
        <item x="375"/>
        <item x="429"/>
        <item x="188"/>
        <item x="192"/>
        <item x="114"/>
        <item x="364"/>
        <item x="416"/>
        <item x="28"/>
        <item x="194"/>
        <item x="4"/>
        <item x="75"/>
        <item x="211"/>
        <item x="15"/>
        <item x="234"/>
        <item x="266"/>
        <item x="87"/>
        <item x="206"/>
        <item x="7"/>
        <item x="159"/>
        <item x="350"/>
        <item x="125"/>
        <item x="63"/>
        <item x="253"/>
        <item x="122"/>
        <item x="107"/>
        <item x="109"/>
        <item x="224"/>
        <item x="33"/>
        <item x="392"/>
        <item x="163"/>
        <item x="333"/>
        <item x="414"/>
        <item x="10"/>
        <item x="322"/>
        <item x="195"/>
        <item x="59"/>
        <item x="189"/>
        <item x="252"/>
        <item x="245"/>
        <item x="352"/>
        <item x="18"/>
        <item x="340"/>
        <item x="13"/>
        <item x="97"/>
        <item x="241"/>
        <item x="165"/>
        <item x="259"/>
        <item x="217"/>
        <item x="370"/>
        <item x="295"/>
        <item x="250"/>
        <item x="263"/>
        <item x="110"/>
        <item x="398"/>
        <item x="280"/>
        <item x="239"/>
        <item x="264"/>
        <item x="313"/>
        <item x="143"/>
        <item x="219"/>
        <item x="214"/>
        <item x="418"/>
        <item x="254"/>
        <item x="96"/>
        <item x="169"/>
        <item x="98"/>
        <item x="310"/>
        <item x="47"/>
        <item x="176"/>
        <item x="225"/>
        <item x="238"/>
        <item x="223"/>
        <item x="145"/>
        <item x="286"/>
        <item x="367"/>
        <item x="157"/>
        <item x="391"/>
        <item x="419"/>
        <item x="161"/>
        <item x="395"/>
        <item x="53"/>
        <item x="316"/>
        <item x="213"/>
        <item x="142"/>
        <item x="405"/>
        <item x="235"/>
        <item x="435"/>
        <item x="151"/>
        <item x="380"/>
        <item x="103"/>
        <item x="339"/>
        <item x="82"/>
        <item x="244"/>
        <item x="152"/>
        <item x="349"/>
        <item x="111"/>
        <item x="230"/>
        <item x="185"/>
        <item x="74"/>
        <item x="117"/>
        <item x="94"/>
        <item x="101"/>
        <item x="265"/>
        <item x="126"/>
        <item x="116"/>
        <item x="359"/>
        <item x="410"/>
        <item x="124"/>
        <item x="417"/>
        <item x="196"/>
        <item x="427"/>
        <item x="236"/>
        <item x="404"/>
        <item x="399"/>
        <item x="85"/>
        <item x="156"/>
        <item x="384"/>
        <item x="203"/>
        <item x="243"/>
        <item x="11"/>
        <item x="294"/>
        <item x="167"/>
        <item x="324"/>
        <item x="197"/>
        <item x="100"/>
        <item x="242"/>
        <item x="226"/>
        <item x="177"/>
        <item x="299"/>
        <item x="312"/>
        <item x="277"/>
        <item x="289"/>
        <item x="357"/>
        <item x="382"/>
        <item x="318"/>
        <item x="278"/>
        <item x="153"/>
        <item x="319"/>
        <item x="261"/>
        <item x="205"/>
        <item x="301"/>
        <item x="296"/>
        <item x="209"/>
        <item x="0"/>
        <item x="199"/>
        <item x="121"/>
        <item x="329"/>
        <item x="314"/>
        <item x="397"/>
        <item x="166"/>
        <item x="270"/>
        <item x="269"/>
        <item x="308"/>
        <item x="309"/>
        <item x="16"/>
        <item x="89"/>
        <item x="363"/>
        <item x="55"/>
        <item x="212"/>
        <item x="293"/>
        <item x="323"/>
        <item x="361"/>
        <item x="335"/>
        <item x="344"/>
        <item x="389"/>
        <item x="368"/>
        <item x="433"/>
        <item x="268"/>
        <item x="51"/>
        <item x="366"/>
        <item x="396"/>
        <item x="267"/>
        <item x="150"/>
        <item x="356"/>
        <item x="408"/>
        <item x="282"/>
        <item x="362"/>
        <item x="162"/>
        <item x="325"/>
        <item x="120"/>
        <item x="284"/>
        <item x="327"/>
        <item x="80"/>
        <item x="292"/>
        <item x="415"/>
        <item x="426"/>
        <item x="374"/>
        <item x="99"/>
        <item x="409"/>
        <item x="394"/>
        <item x="432"/>
        <item x="400"/>
        <item x="207"/>
        <item x="388"/>
        <item x="276"/>
        <item x="102"/>
        <item x="204"/>
        <item x="381"/>
        <item x="338"/>
        <item x="347"/>
        <item x="431"/>
        <item x="341"/>
        <item x="174"/>
        <item x="334"/>
        <item x="330"/>
        <item x="119"/>
        <item x="164"/>
        <item x="231"/>
        <item x="179"/>
        <item x="191"/>
        <item x="240"/>
        <item x="393"/>
        <item x="387"/>
        <item x="146"/>
        <item x="246"/>
        <item x="170"/>
        <item x="376"/>
        <item x="257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4" outline="0" subtotalTop="0" showAll="0" includeNewItemsInFilter="1"/>
    <pivotField dataField="1" compact="0" numFmtId="4" outline="0" subtotalTop="0" showAll="0" includeNewItemsInFilter="1"/>
    <pivotField dataField="1"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11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Среднее по полю Удельная цена сделки/ предложения, руб./кв.м." fld="6" subtotal="average" baseField="0" baseItem="0" numFmtId="4"/>
    <dataField name="Сумма по полю Цена сделки/ предложения, руб." fld="5" baseField="0" baseItem="0" numFmtId="4"/>
    <dataField name="Сумма по полю количество сделок" fld="7" baseField="0" baseItem="0"/>
    <dataField name="Среднее по полю Площадь, кв.м." fld="1" subtotal="average" baseField="0" baseItem="0" numFmtId="4"/>
  </dataFields>
  <formats count="26">
    <format dxfId="6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3">
      <pivotArea field="11" type="button" dataOnly="0" labelOnly="1" outline="0" axis="axisRow" fieldPosition="0"/>
    </format>
    <format dxfId="62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61">
      <pivotArea field="11" type="button" dataOnly="0" labelOnly="1" outline="0" axis="axisRow" fieldPosition="0"/>
    </format>
    <format dxfId="60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59">
      <pivotArea outline="0" fieldPosition="0">
        <references count="1">
          <reference field="4294967294" count="1">
            <x v="3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7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56">
      <pivotArea outline="0" fieldPosition="0">
        <references count="1">
          <reference field="4294967294" count="1">
            <x v="3"/>
          </reference>
        </references>
      </pivotArea>
    </format>
    <format dxfId="55">
      <pivotArea dataOnly="0" labelOnly="1" outline="0" fieldPosition="0">
        <references count="1">
          <reference field="11" count="1">
            <x v="6"/>
          </reference>
        </references>
      </pivotArea>
    </format>
    <format dxfId="54">
      <pivotArea dataOnly="0" labelOnly="1" outline="0" fieldPosition="0">
        <references count="1">
          <reference field="11" count="1">
            <x v="14"/>
          </reference>
        </references>
      </pivotArea>
    </format>
    <format dxfId="53">
      <pivotArea dataOnly="0" labelOnly="1" outline="0" fieldPosition="0">
        <references count="1">
          <reference field="11" count="1">
            <x v="15"/>
          </reference>
        </references>
      </pivotArea>
    </format>
    <format dxfId="52">
      <pivotArea dataOnly="0" labelOnly="1" outline="0" fieldPosition="0">
        <references count="1">
          <reference field="11" count="1">
            <x v="16"/>
          </reference>
        </references>
      </pivotArea>
    </format>
    <format dxfId="51">
      <pivotArea dataOnly="0" labelOnly="1" outline="0" fieldPosition="0">
        <references count="1">
          <reference field="11" count="1">
            <x v="18"/>
          </reference>
        </references>
      </pivotArea>
    </format>
    <format dxfId="50">
      <pivotArea dataOnly="0" labelOnly="1" outline="0" fieldPosition="0">
        <references count="1">
          <reference field="11" count="1">
            <x v="19"/>
          </reference>
        </references>
      </pivotArea>
    </format>
    <format dxfId="49">
      <pivotArea dataOnly="0" labelOnly="1" outline="0" fieldPosition="0">
        <references count="1">
          <reference field="11" count="1">
            <x v="20"/>
          </reference>
        </references>
      </pivotArea>
    </format>
    <format dxfId="48">
      <pivotArea dataOnly="0" labelOnly="1" outline="0" fieldPosition="0">
        <references count="1">
          <reference field="11" count="1">
            <x v="21"/>
          </reference>
        </references>
      </pivotArea>
    </format>
    <format dxfId="47">
      <pivotArea outline="0" fieldPosition="0"/>
    </format>
    <format dxfId="46">
      <pivotArea dataOnly="0" labelOnly="1" outline="0" fieldPosition="0">
        <references count="1">
          <reference field="11" count="0"/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1">
          <reference field="11" count="16"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</reference>
        </references>
      </pivotArea>
    </format>
    <format dxfId="43">
      <pivotArea type="all" dataOnly="0" outline="0" fieldPosition="0"/>
    </format>
    <format dxfId="42">
      <pivotArea grandRow="1" outline="0" fieldPosition="0"/>
    </format>
    <format dxfId="41">
      <pivotArea dataOnly="0" labelOnly="1" grandRow="1" outline="0" fieldPosition="0"/>
    </format>
    <format dxfId="40">
      <pivotArea grandRow="1" outline="0" fieldPosition="0"/>
    </format>
    <format dxfId="39">
      <pivotArea dataOnly="0" labelOnly="1" grandRow="1"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21" applyNumberFormats="0" applyBorderFormats="0" applyFontFormats="0" applyPatternFormats="0" applyAlignmentFormats="0" applyWidthHeightFormats="1" dataCaption="Значения" updatedVersion="5" minRefreshableVersion="3" itemPrintTitles="1" createdVersion="5" indent="0" outline="1" outlineData="1" multipleFieldFilters="0">
  <location ref="A4:C37" firstHeaderRow="1" firstDataRow="1" firstDataCol="2"/>
  <pivotFields count="11">
    <pivotField axis="axisRow" outline="0" showAll="0" defaultSubtotal="0">
      <items count="26">
        <item x="0"/>
        <item x="12"/>
        <item x="5"/>
        <item x="7"/>
        <item x="21"/>
        <item x="6"/>
        <item x="1"/>
        <item x="2"/>
        <item x="18"/>
        <item x="3"/>
        <item x="13"/>
        <item x="16"/>
        <item x="10"/>
        <item x="11"/>
        <item x="17"/>
        <item x="25"/>
        <item x="9"/>
        <item x="15"/>
        <item x="14"/>
        <item x="23"/>
        <item x="22"/>
        <item x="20"/>
        <item x="24"/>
        <item x="4"/>
        <item x="19"/>
        <item x="8"/>
      </items>
    </pivotField>
    <pivotField axis="axisRow" outline="0" showAll="0" defaultSubtotal="0">
      <items count="32">
        <item x="19"/>
        <item x="24"/>
        <item x="4"/>
        <item x="3"/>
        <item x="10"/>
        <item x="21"/>
        <item x="9"/>
        <item x="18"/>
        <item x="8"/>
        <item x="12"/>
        <item x="31"/>
        <item x="22"/>
        <item x="16"/>
        <item x="29"/>
        <item x="27"/>
        <item x="2"/>
        <item x="7"/>
        <item x="26"/>
        <item x="28"/>
        <item x="20"/>
        <item x="25"/>
        <item x="1"/>
        <item x="0"/>
        <item x="17"/>
        <item x="30"/>
        <item x="13"/>
        <item x="6"/>
        <item x="5"/>
        <item x="23"/>
        <item x="11"/>
        <item x="15"/>
        <item x="14"/>
      </items>
    </pivotField>
    <pivotField numFmtId="4" showAll="0"/>
    <pivotField showAll="0"/>
    <pivotField showAll="0"/>
    <pivotField numFmtId="4" showAll="0"/>
    <pivotField showAll="0"/>
    <pivotField numFmtId="4" showAll="0"/>
    <pivotField showAll="0"/>
    <pivotField numFmtId="4" showAll="0"/>
    <pivotField dataField="1" numFmtId="4" outline="0" showAll="0" sortType="ascending" defaultSubtotal="0">
      <items count="107">
        <item x="3"/>
        <item x="2"/>
        <item x="1"/>
        <item x="105"/>
        <item x="36"/>
        <item x="9"/>
        <item x="39"/>
        <item x="60"/>
        <item x="61"/>
        <item x="62"/>
        <item x="95"/>
        <item x="96"/>
        <item x="98"/>
        <item x="103"/>
        <item x="37"/>
        <item x="5"/>
        <item x="8"/>
        <item x="31"/>
        <item x="28"/>
        <item x="6"/>
        <item x="27"/>
        <item x="59"/>
        <item x="97"/>
        <item x="66"/>
        <item x="63"/>
        <item x="29"/>
        <item x="65"/>
        <item x="67"/>
        <item x="32"/>
        <item x="102"/>
        <item x="92"/>
        <item x="104"/>
        <item x="69"/>
        <item x="0"/>
        <item x="99"/>
        <item x="78"/>
        <item x="106"/>
        <item x="48"/>
        <item x="49"/>
        <item x="68"/>
        <item x="35"/>
        <item x="33"/>
        <item x="34"/>
        <item x="101"/>
        <item x="47"/>
        <item x="64"/>
        <item x="54"/>
        <item x="100"/>
        <item x="46"/>
        <item x="50"/>
        <item x="53"/>
        <item x="76"/>
        <item x="51"/>
        <item x="77"/>
        <item x="52"/>
        <item x="75"/>
        <item x="80"/>
        <item x="38"/>
        <item x="7"/>
        <item x="79"/>
        <item x="71"/>
        <item x="82"/>
        <item x="85"/>
        <item x="94"/>
        <item x="90"/>
        <item x="23"/>
        <item x="81"/>
        <item x="56"/>
        <item x="74"/>
        <item x="25"/>
        <item x="89"/>
        <item x="22"/>
        <item x="21"/>
        <item x="91"/>
        <item x="58"/>
        <item x="24"/>
        <item x="57"/>
        <item x="93"/>
        <item x="26"/>
        <item x="55"/>
        <item x="88"/>
        <item x="72"/>
        <item x="30"/>
        <item x="16"/>
        <item x="11"/>
        <item x="12"/>
        <item x="10"/>
        <item x="70"/>
        <item x="73"/>
        <item x="13"/>
        <item x="14"/>
        <item x="86"/>
        <item x="20"/>
        <item x="15"/>
        <item x="17"/>
        <item x="19"/>
        <item x="18"/>
        <item x="45"/>
        <item x="4"/>
        <item x="87"/>
        <item x="44"/>
        <item x="43"/>
        <item x="40"/>
        <item x="42"/>
        <item x="83"/>
        <item x="41"/>
        <item x="84"/>
      </items>
    </pivotField>
  </pivotFields>
  <rowFields count="2">
    <field x="0"/>
    <field x="1"/>
  </rowFields>
  <rowItems count="33">
    <i>
      <x/>
      <x v="22"/>
    </i>
    <i r="1">
      <x v="27"/>
    </i>
    <i>
      <x v="1"/>
      <x v="30"/>
    </i>
    <i>
      <x v="2"/>
      <x v="16"/>
    </i>
    <i>
      <x v="3"/>
      <x v="4"/>
    </i>
    <i>
      <x v="4"/>
      <x v="17"/>
    </i>
    <i>
      <x v="5"/>
      <x v="6"/>
    </i>
    <i>
      <x v="6"/>
      <x v="13"/>
    </i>
    <i r="1">
      <x v="21"/>
    </i>
    <i>
      <x v="7"/>
      <x v="3"/>
    </i>
    <i r="1">
      <x v="15"/>
    </i>
    <i>
      <x v="8"/>
      <x v="11"/>
    </i>
    <i r="1">
      <x v="28"/>
    </i>
    <i>
      <x v="9"/>
      <x v="2"/>
    </i>
    <i r="1">
      <x v="8"/>
    </i>
    <i>
      <x v="10"/>
      <x v="12"/>
    </i>
    <i>
      <x v="11"/>
      <x v="19"/>
    </i>
    <i>
      <x v="12"/>
      <x v="7"/>
    </i>
    <i r="1">
      <x v="25"/>
    </i>
    <i>
      <x v="13"/>
      <x v="31"/>
    </i>
    <i>
      <x v="14"/>
      <x v="5"/>
    </i>
    <i>
      <x v="15"/>
      <x v="10"/>
    </i>
    <i>
      <x v="16"/>
      <x v="9"/>
    </i>
    <i>
      <x v="17"/>
      <x/>
    </i>
    <i>
      <x v="18"/>
      <x v="23"/>
    </i>
    <i>
      <x v="19"/>
      <x v="18"/>
    </i>
    <i>
      <x v="20"/>
      <x v="14"/>
    </i>
    <i>
      <x v="21"/>
      <x v="20"/>
    </i>
    <i>
      <x v="22"/>
      <x v="24"/>
    </i>
    <i>
      <x v="23"/>
      <x v="26"/>
    </i>
    <i>
      <x v="24"/>
      <x v="1"/>
    </i>
    <i>
      <x v="25"/>
      <x v="29"/>
    </i>
    <i t="grand">
      <x/>
    </i>
  </rowItems>
  <colItems count="1">
    <i/>
  </colItems>
  <dataFields count="1">
    <dataField name="Сумма по полю прибыль/убыток" fld="10" baseField="0" baseItem="0"/>
  </dataFields>
  <formats count="39">
    <format dxfId="38">
      <pivotArea outline="0" collapsedLevelsAreSubtotals="1" fieldPosition="0"/>
    </format>
    <format dxfId="37">
      <pivotArea dataOnly="0" labelOnly="1" outline="0" axis="axisValues" fieldPosition="0"/>
    </format>
    <format dxfId="36">
      <pivotArea outline="0" collapsedLevelsAreSubtotals="1" fieldPosition="0">
        <references count="2">
          <reference field="0" count="1" selected="0">
            <x v="0"/>
          </reference>
          <reference field="1" count="1" selected="0">
            <x v="27"/>
          </reference>
        </references>
      </pivotArea>
    </format>
    <format dxfId="35">
      <pivotArea outline="0" collapsedLevelsAreSubtotals="1" fieldPosition="0">
        <references count="2">
          <reference field="0" count="1" selected="0">
            <x v="1"/>
          </reference>
          <reference field="1" count="1" selected="0">
            <x v="30"/>
          </reference>
        </references>
      </pivotArea>
    </format>
    <format dxfId="34">
      <pivotArea dataOnly="0" labelOnly="1" offset="IV256" fieldPosition="0">
        <references count="1">
          <reference field="0" count="1">
            <x v="0"/>
          </reference>
        </references>
      </pivotArea>
    </format>
    <format dxfId="33">
      <pivotArea dataOnly="0" labelOnly="1" fieldPosition="0">
        <references count="1">
          <reference field="0" count="1">
            <x v="1"/>
          </reference>
        </references>
      </pivotArea>
    </format>
    <format dxfId="32">
      <pivotArea dataOnly="0" labelOnly="1" fieldPosition="0">
        <references count="2">
          <reference field="0" count="1" selected="0">
            <x v="0"/>
          </reference>
          <reference field="1" count="1">
            <x v="27"/>
          </reference>
        </references>
      </pivotArea>
    </format>
    <format dxfId="31">
      <pivotArea dataOnly="0" labelOnly="1" fieldPosition="0">
        <references count="2">
          <reference field="0" count="1" selected="0">
            <x v="1"/>
          </reference>
          <reference field="1" count="1">
            <x v="30"/>
          </reference>
        </references>
      </pivotArea>
    </format>
    <format dxfId="30">
      <pivotArea outline="0" collapsedLevelsAreSubtotals="1" fieldPosition="0">
        <references count="2">
          <reference field="0" count="1" selected="0">
            <x v="0"/>
          </reference>
          <reference field="1" count="1" selected="0">
            <x v="22"/>
          </reference>
        </references>
      </pivotArea>
    </format>
    <format dxfId="29">
      <pivotArea dataOnly="0" labelOnly="1" offset="IV1" fieldPosition="0">
        <references count="1">
          <reference field="0" count="1">
            <x v="0"/>
          </reference>
        </references>
      </pivotArea>
    </format>
    <format dxfId="28">
      <pivotArea dataOnly="0" labelOnly="1" fieldPosition="0">
        <references count="2">
          <reference field="0" count="1" selected="0">
            <x v="0"/>
          </reference>
          <reference field="1" count="1">
            <x v="22"/>
          </reference>
        </references>
      </pivotArea>
    </format>
    <format dxfId="27">
      <pivotArea outline="0" collapsedLevelsAreSubtotals="1" fieldPosition="0">
        <references count="2">
          <reference field="0" count="1" selected="0">
            <x v="3"/>
          </reference>
          <reference field="1" count="1" selected="0">
            <x v="4"/>
          </reference>
        </references>
      </pivotArea>
    </format>
    <format dxfId="26">
      <pivotArea dataOnly="0" labelOnly="1" fieldPosition="0">
        <references count="1">
          <reference field="0" count="1">
            <x v="3"/>
          </reference>
        </references>
      </pivotArea>
    </format>
    <format dxfId="25">
      <pivotArea dataOnly="0" labelOnly="1" fieldPosition="0">
        <references count="2">
          <reference field="0" count="1" selected="0">
            <x v="3"/>
          </reference>
          <reference field="1" count="1">
            <x v="4"/>
          </reference>
        </references>
      </pivotArea>
    </format>
    <format dxfId="24">
      <pivotArea outline="0" collapsedLevelsAreSubtotals="1" fieldPosition="0">
        <references count="2">
          <reference field="0" count="1" selected="0">
            <x v="6"/>
          </reference>
          <reference field="1" count="1" selected="0">
            <x v="21"/>
          </reference>
        </references>
      </pivotArea>
    </format>
    <format dxfId="23">
      <pivotArea outline="0" collapsedLevelsAreSubtotals="1" fieldPosition="0">
        <references count="2">
          <reference field="0" count="7" selected="0">
            <x v="7"/>
            <x v="8"/>
            <x v="9"/>
            <x v="10"/>
            <x v="11"/>
            <x v="12"/>
            <x v="13"/>
          </reference>
          <reference field="1" count="11" selected="0">
            <x v="2"/>
            <x v="3"/>
            <x v="7"/>
            <x v="8"/>
            <x v="11"/>
            <x v="12"/>
            <x v="15"/>
            <x v="19"/>
            <x v="25"/>
            <x v="28"/>
            <x v="31"/>
          </reference>
        </references>
      </pivotArea>
    </format>
    <format dxfId="22">
      <pivotArea dataOnly="0" labelOnly="1" offset="IV256" fieldPosition="0">
        <references count="1">
          <reference field="0" count="1">
            <x v="6"/>
          </reference>
        </references>
      </pivotArea>
    </format>
    <format dxfId="21">
      <pivotArea dataOnly="0" labelOnly="1" fieldPosition="0">
        <references count="1">
          <reference field="0" count="7">
            <x v="7"/>
            <x v="8"/>
            <x v="9"/>
            <x v="10"/>
            <x v="11"/>
            <x v="12"/>
            <x v="13"/>
          </reference>
        </references>
      </pivotArea>
    </format>
    <format dxfId="20">
      <pivotArea dataOnly="0" labelOnly="1" fieldPosition="0">
        <references count="2">
          <reference field="0" count="1" selected="0">
            <x v="6"/>
          </reference>
          <reference field="1" count="1">
            <x v="21"/>
          </reference>
        </references>
      </pivotArea>
    </format>
    <format dxfId="19">
      <pivotArea dataOnly="0" labelOnly="1" fieldPosition="0">
        <references count="2">
          <reference field="0" count="1" selected="0">
            <x v="7"/>
          </reference>
          <reference field="1" count="2">
            <x v="3"/>
            <x v="15"/>
          </reference>
        </references>
      </pivotArea>
    </format>
    <format dxfId="18">
      <pivotArea dataOnly="0" labelOnly="1" fieldPosition="0">
        <references count="2">
          <reference field="0" count="1" selected="0">
            <x v="8"/>
          </reference>
          <reference field="1" count="2">
            <x v="11"/>
            <x v="28"/>
          </reference>
        </references>
      </pivotArea>
    </format>
    <format dxfId="17">
      <pivotArea dataOnly="0" labelOnly="1" fieldPosition="0">
        <references count="2">
          <reference field="0" count="1" selected="0">
            <x v="9"/>
          </reference>
          <reference field="1" count="2">
            <x v="2"/>
            <x v="8"/>
          </reference>
        </references>
      </pivotArea>
    </format>
    <format dxfId="16">
      <pivotArea dataOnly="0" labelOnly="1" fieldPosition="0">
        <references count="2">
          <reference field="0" count="1" selected="0">
            <x v="10"/>
          </reference>
          <reference field="1" count="1">
            <x v="12"/>
          </reference>
        </references>
      </pivotArea>
    </format>
    <format dxfId="15">
      <pivotArea dataOnly="0" labelOnly="1" fieldPosition="0">
        <references count="2">
          <reference field="0" count="1" selected="0">
            <x v="11"/>
          </reference>
          <reference field="1" count="1">
            <x v="19"/>
          </reference>
        </references>
      </pivotArea>
    </format>
    <format dxfId="14">
      <pivotArea dataOnly="0" labelOnly="1" fieldPosition="0">
        <references count="2">
          <reference field="0" count="1" selected="0">
            <x v="12"/>
          </reference>
          <reference field="1" count="2">
            <x v="7"/>
            <x v="25"/>
          </reference>
        </references>
      </pivotArea>
    </format>
    <format dxfId="13">
      <pivotArea dataOnly="0" labelOnly="1" fieldPosition="0">
        <references count="2">
          <reference field="0" count="1" selected="0">
            <x v="13"/>
          </reference>
          <reference field="1" count="1">
            <x v="31"/>
          </reference>
        </references>
      </pivotArea>
    </format>
    <format dxfId="12">
      <pivotArea outline="0" collapsedLevelsAreSubtotals="1" fieldPosition="0">
        <references count="2">
          <reference field="0" count="4" selected="0">
            <x v="15"/>
            <x v="16"/>
            <x v="17"/>
            <x v="18"/>
          </reference>
          <reference field="1" count="4" selected="0">
            <x v="0"/>
            <x v="9"/>
            <x v="10"/>
            <x v="23"/>
          </reference>
        </references>
      </pivotArea>
    </format>
    <format dxfId="11">
      <pivotArea dataOnly="0" labelOnly="1" fieldPosition="0">
        <references count="1">
          <reference field="0" count="4">
            <x v="15"/>
            <x v="16"/>
            <x v="17"/>
            <x v="18"/>
          </reference>
        </references>
      </pivotArea>
    </format>
    <format dxfId="10">
      <pivotArea dataOnly="0" labelOnly="1" fieldPosition="0">
        <references count="2">
          <reference field="0" count="1" selected="0">
            <x v="15"/>
          </reference>
          <reference field="1" count="1">
            <x v="10"/>
          </reference>
        </references>
      </pivotArea>
    </format>
    <format dxfId="9">
      <pivotArea dataOnly="0" labelOnly="1" fieldPosition="0">
        <references count="2">
          <reference field="0" count="1" selected="0">
            <x v="16"/>
          </reference>
          <reference field="1" count="1">
            <x v="9"/>
          </reference>
        </references>
      </pivotArea>
    </format>
    <format dxfId="8">
      <pivotArea dataOnly="0" labelOnly="1" fieldPosition="0">
        <references count="2">
          <reference field="0" count="1" selected="0">
            <x v="17"/>
          </reference>
          <reference field="1" count="1">
            <x v="0"/>
          </reference>
        </references>
      </pivotArea>
    </format>
    <format dxfId="7">
      <pivotArea dataOnly="0" labelOnly="1" fieldPosition="0">
        <references count="2">
          <reference field="0" count="1" selected="0">
            <x v="18"/>
          </reference>
          <reference field="1" count="1">
            <x v="23"/>
          </reference>
        </references>
      </pivotArea>
    </format>
    <format dxfId="6">
      <pivotArea outline="0" collapsedLevelsAreSubtotals="1" fieldPosition="0">
        <references count="2">
          <reference field="0" count="2" selected="0">
            <x v="21"/>
            <x v="22"/>
          </reference>
          <reference field="1" count="2" selected="0">
            <x v="20"/>
            <x v="24"/>
          </reference>
        </references>
      </pivotArea>
    </format>
    <format dxfId="5">
      <pivotArea dataOnly="0" labelOnly="1" fieldPosition="0">
        <references count="1">
          <reference field="0" count="2">
            <x v="21"/>
            <x v="22"/>
          </reference>
        </references>
      </pivotArea>
    </format>
    <format dxfId="4">
      <pivotArea dataOnly="0" labelOnly="1" fieldPosition="0">
        <references count="2">
          <reference field="0" count="1" selected="0">
            <x v="21"/>
          </reference>
          <reference field="1" count="1">
            <x v="20"/>
          </reference>
        </references>
      </pivotArea>
    </format>
    <format dxfId="3">
      <pivotArea dataOnly="0" labelOnly="1" fieldPosition="0">
        <references count="2">
          <reference field="0" count="1" selected="0">
            <x v="22"/>
          </reference>
          <reference field="1" count="1">
            <x v="24"/>
          </reference>
        </references>
      </pivotArea>
    </format>
    <format dxfId="2">
      <pivotArea outline="0" collapsedLevelsAreSubtotals="1" fieldPosition="0">
        <references count="2">
          <reference field="0" count="1" selected="0">
            <x v="25"/>
          </reference>
          <reference field="1" count="1" selected="0">
            <x v="29"/>
          </reference>
        </references>
      </pivotArea>
    </format>
    <format dxfId="1">
      <pivotArea dataOnly="0" labelOnly="1" fieldPosition="0">
        <references count="1">
          <reference field="0" count="1">
            <x v="25"/>
          </reference>
        </references>
      </pivotArea>
    </format>
    <format dxfId="0">
      <pivotArea dataOnly="0" labelOnly="1" fieldPosition="0">
        <references count="2">
          <reference field="0" count="1" selected="0">
            <x v="25"/>
          </reference>
          <reference field="1" count="1">
            <x v="29"/>
          </reference>
        </references>
      </pivotArea>
    </format>
  </formats>
  <pivotTableStyleInfo name="PivotStyleLight16" showRowHeaders="1" showColHeaders="1" showRowStripes="0" showColStripes="0" showLastColumn="1"/>
  <filters count="1">
    <filter fld="10" type="captionLessThanOrEqual" evalOrder="-1" id="1" stringValue1="0">
      <autoFilter ref="A1">
        <filterColumn colId="0">
          <customFilters>
            <customFilter operator="lessThanOr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71"/>
  <sheetViews>
    <sheetView topLeftCell="A22" workbookViewId="0">
      <selection activeCell="F3" sqref="F3"/>
    </sheetView>
  </sheetViews>
  <sheetFormatPr defaultRowHeight="15" x14ac:dyDescent="0.25"/>
  <cols>
    <col min="1" max="2" width="15" customWidth="1"/>
    <col min="3" max="3" width="24.140625" customWidth="1"/>
    <col min="4" max="4" width="13.42578125" customWidth="1"/>
    <col min="5" max="5" width="17.140625" customWidth="1"/>
    <col min="6" max="6" width="16.42578125" customWidth="1"/>
    <col min="7" max="7" width="11.42578125" customWidth="1"/>
    <col min="9" max="9" width="15.7109375" customWidth="1"/>
    <col min="10" max="10" width="16" customWidth="1"/>
    <col min="11" max="11" width="15.140625" customWidth="1"/>
    <col min="12" max="12" width="12" customWidth="1"/>
    <col min="13" max="13" width="13" customWidth="1"/>
    <col min="14" max="14" width="18.140625" customWidth="1"/>
    <col min="16" max="16" width="11.7109375" customWidth="1"/>
  </cols>
  <sheetData>
    <row r="1" spans="1:17" ht="18.75" x14ac:dyDescent="0.3">
      <c r="A1" s="264" t="s">
        <v>468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</row>
    <row r="2" spans="1:17" ht="15.75" thickBot="1" x14ac:dyDescent="0.3"/>
    <row r="3" spans="1:17" s="10" customFormat="1" ht="93.75" customHeight="1" thickBot="1" x14ac:dyDescent="0.3">
      <c r="A3" s="14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  <c r="N3" s="15" t="s">
        <v>13</v>
      </c>
      <c r="O3" s="15" t="s">
        <v>14</v>
      </c>
      <c r="P3" s="15" t="s">
        <v>15</v>
      </c>
      <c r="Q3" s="16" t="s">
        <v>16</v>
      </c>
    </row>
    <row r="4" spans="1:17" s="6" customFormat="1" x14ac:dyDescent="0.25">
      <c r="A4" s="11" t="s">
        <v>17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</row>
    <row r="5" spans="1:17" x14ac:dyDescent="0.25">
      <c r="A5" s="1" t="s">
        <v>19</v>
      </c>
      <c r="B5" s="31">
        <v>64.7</v>
      </c>
      <c r="C5" s="1" t="s">
        <v>20</v>
      </c>
      <c r="D5" s="2">
        <v>42767</v>
      </c>
      <c r="E5" s="2">
        <v>42767</v>
      </c>
      <c r="F5" s="17">
        <v>950000</v>
      </c>
      <c r="G5" s="17">
        <v>14683.15</v>
      </c>
      <c r="H5" s="1"/>
      <c r="I5" s="1" t="s">
        <v>21</v>
      </c>
      <c r="J5" s="1" t="s">
        <v>22</v>
      </c>
      <c r="K5" s="1" t="s">
        <v>23</v>
      </c>
      <c r="L5" s="1"/>
      <c r="M5" s="1" t="s">
        <v>17</v>
      </c>
      <c r="N5" s="1" t="s">
        <v>24</v>
      </c>
      <c r="O5" s="31">
        <v>2</v>
      </c>
      <c r="P5" s="31">
        <v>2</v>
      </c>
      <c r="Q5" s="32">
        <v>2005</v>
      </c>
    </row>
    <row r="6" spans="1:17" x14ac:dyDescent="0.25">
      <c r="A6" s="1" t="s">
        <v>19</v>
      </c>
      <c r="B6" s="31">
        <v>64.7</v>
      </c>
      <c r="C6" s="1" t="s">
        <v>20</v>
      </c>
      <c r="D6" s="2">
        <v>42767</v>
      </c>
      <c r="E6" s="2">
        <v>42767</v>
      </c>
      <c r="F6" s="17">
        <v>950000</v>
      </c>
      <c r="G6" s="17">
        <v>14683.15</v>
      </c>
      <c r="H6" s="1"/>
      <c r="I6" s="1" t="s">
        <v>21</v>
      </c>
      <c r="J6" s="1" t="s">
        <v>22</v>
      </c>
      <c r="K6" s="1" t="s">
        <v>23</v>
      </c>
      <c r="L6" s="1"/>
      <c r="M6" s="1" t="s">
        <v>17</v>
      </c>
      <c r="N6" s="1" t="s">
        <v>24</v>
      </c>
      <c r="O6" s="31">
        <v>2</v>
      </c>
      <c r="P6" s="31">
        <v>2</v>
      </c>
      <c r="Q6" s="32">
        <v>2005</v>
      </c>
    </row>
    <row r="7" spans="1:17" x14ac:dyDescent="0.25">
      <c r="A7" s="1" t="s">
        <v>19</v>
      </c>
      <c r="B7" s="31">
        <v>40.1</v>
      </c>
      <c r="C7" s="1" t="s">
        <v>20</v>
      </c>
      <c r="D7" s="2">
        <v>42675</v>
      </c>
      <c r="E7" s="2">
        <v>42705</v>
      </c>
      <c r="F7" s="17">
        <v>600000</v>
      </c>
      <c r="G7" s="17">
        <v>14962.59</v>
      </c>
      <c r="H7" s="1"/>
      <c r="I7" s="1" t="s">
        <v>21</v>
      </c>
      <c r="J7" s="1" t="s">
        <v>22</v>
      </c>
      <c r="K7" s="1" t="s">
        <v>23</v>
      </c>
      <c r="L7" s="1"/>
      <c r="M7" s="1" t="s">
        <v>17</v>
      </c>
      <c r="N7" s="1" t="s">
        <v>27</v>
      </c>
      <c r="O7" s="31">
        <v>2</v>
      </c>
      <c r="P7" s="31">
        <v>1</v>
      </c>
      <c r="Q7" s="32">
        <v>2008</v>
      </c>
    </row>
    <row r="8" spans="1:17" x14ac:dyDescent="0.25">
      <c r="A8" s="1" t="s">
        <v>25</v>
      </c>
      <c r="B8" s="31">
        <v>30</v>
      </c>
      <c r="C8" s="1" t="s">
        <v>20</v>
      </c>
      <c r="D8" s="2">
        <v>42644</v>
      </c>
      <c r="E8" s="2">
        <v>42644</v>
      </c>
      <c r="F8" s="17">
        <v>610000</v>
      </c>
      <c r="G8" s="17">
        <v>20333.330000000002</v>
      </c>
      <c r="H8" s="1"/>
      <c r="I8" s="1" t="s">
        <v>21</v>
      </c>
      <c r="J8" s="1" t="s">
        <v>22</v>
      </c>
      <c r="K8" s="1" t="s">
        <v>23</v>
      </c>
      <c r="L8" s="1"/>
      <c r="M8" s="1" t="s">
        <v>17</v>
      </c>
      <c r="N8" s="1" t="s">
        <v>26</v>
      </c>
      <c r="O8" s="31">
        <v>1</v>
      </c>
      <c r="P8" s="31">
        <v>1</v>
      </c>
      <c r="Q8" s="32">
        <v>2010</v>
      </c>
    </row>
    <row r="9" spans="1:17" x14ac:dyDescent="0.25">
      <c r="A9" s="1" t="s">
        <v>31</v>
      </c>
      <c r="B9" s="31">
        <v>35.299999999999997</v>
      </c>
      <c r="C9" s="1" t="s">
        <v>20</v>
      </c>
      <c r="D9" s="2">
        <v>42675</v>
      </c>
      <c r="E9" s="2">
        <v>42705</v>
      </c>
      <c r="F9" s="17">
        <v>749620</v>
      </c>
      <c r="G9" s="17">
        <v>21235.69</v>
      </c>
      <c r="H9" s="1"/>
      <c r="I9" s="1" t="s">
        <v>21</v>
      </c>
      <c r="J9" s="1" t="s">
        <v>32</v>
      </c>
      <c r="K9" s="1" t="s">
        <v>23</v>
      </c>
      <c r="L9" s="1"/>
      <c r="M9" s="1" t="s">
        <v>17</v>
      </c>
      <c r="N9" s="1" t="s">
        <v>33</v>
      </c>
      <c r="O9" s="31">
        <v>2</v>
      </c>
      <c r="P9" s="31">
        <v>2</v>
      </c>
      <c r="Q9" s="32">
        <v>2016</v>
      </c>
    </row>
    <row r="10" spans="1:17" x14ac:dyDescent="0.25">
      <c r="A10" s="1" t="s">
        <v>31</v>
      </c>
      <c r="B10" s="31">
        <v>35.299999999999997</v>
      </c>
      <c r="C10" s="1" t="s">
        <v>20</v>
      </c>
      <c r="D10" s="2">
        <v>42675</v>
      </c>
      <c r="E10" s="2">
        <v>42705</v>
      </c>
      <c r="F10" s="17">
        <v>749620</v>
      </c>
      <c r="G10" s="17">
        <v>21235.69</v>
      </c>
      <c r="H10" s="1"/>
      <c r="I10" s="1" t="s">
        <v>21</v>
      </c>
      <c r="J10" s="1" t="s">
        <v>32</v>
      </c>
      <c r="K10" s="1" t="s">
        <v>23</v>
      </c>
      <c r="L10" s="1"/>
      <c r="M10" s="1" t="s">
        <v>17</v>
      </c>
      <c r="N10" s="1" t="s">
        <v>33</v>
      </c>
      <c r="O10" s="31">
        <v>2</v>
      </c>
      <c r="P10" s="31">
        <v>2</v>
      </c>
      <c r="Q10" s="32">
        <v>2016</v>
      </c>
    </row>
    <row r="11" spans="1:17" x14ac:dyDescent="0.25">
      <c r="A11" s="1" t="s">
        <v>31</v>
      </c>
      <c r="B11" s="31">
        <v>49</v>
      </c>
      <c r="C11" s="1" t="s">
        <v>20</v>
      </c>
      <c r="D11" s="2">
        <v>42705</v>
      </c>
      <c r="E11" s="2">
        <v>42736</v>
      </c>
      <c r="F11" s="17">
        <v>1152480</v>
      </c>
      <c r="G11" s="17">
        <v>23520</v>
      </c>
      <c r="H11" s="1"/>
      <c r="I11" s="1" t="s">
        <v>21</v>
      </c>
      <c r="J11" s="1" t="s">
        <v>32</v>
      </c>
      <c r="K11" s="1" t="s">
        <v>23</v>
      </c>
      <c r="L11" s="1"/>
      <c r="M11" s="1" t="s">
        <v>17</v>
      </c>
      <c r="N11" s="1" t="s">
        <v>33</v>
      </c>
      <c r="O11" s="31">
        <v>3</v>
      </c>
      <c r="P11" s="31">
        <v>2</v>
      </c>
      <c r="Q11" s="32">
        <v>2016</v>
      </c>
    </row>
    <row r="12" spans="1:17" x14ac:dyDescent="0.25">
      <c r="A12" s="1" t="s">
        <v>31</v>
      </c>
      <c r="B12" s="31">
        <v>49</v>
      </c>
      <c r="C12" s="1" t="s">
        <v>20</v>
      </c>
      <c r="D12" s="2">
        <v>42705</v>
      </c>
      <c r="E12" s="2">
        <v>42736</v>
      </c>
      <c r="F12" s="17">
        <v>1152480</v>
      </c>
      <c r="G12" s="17">
        <v>23520</v>
      </c>
      <c r="H12" s="1"/>
      <c r="I12" s="1" t="s">
        <v>21</v>
      </c>
      <c r="J12" s="1" t="s">
        <v>32</v>
      </c>
      <c r="K12" s="1" t="s">
        <v>23</v>
      </c>
      <c r="L12" s="1"/>
      <c r="M12" s="1" t="s">
        <v>17</v>
      </c>
      <c r="N12" s="1" t="s">
        <v>33</v>
      </c>
      <c r="O12" s="31">
        <v>3</v>
      </c>
      <c r="P12" s="31">
        <v>2</v>
      </c>
      <c r="Q12" s="32">
        <v>2016</v>
      </c>
    </row>
    <row r="13" spans="1:17" x14ac:dyDescent="0.25">
      <c r="A13" s="1" t="s">
        <v>19</v>
      </c>
      <c r="B13" s="31">
        <v>31</v>
      </c>
      <c r="C13" s="1" t="s">
        <v>20</v>
      </c>
      <c r="D13" s="2">
        <v>42675</v>
      </c>
      <c r="E13" s="2">
        <v>42675</v>
      </c>
      <c r="F13" s="17">
        <v>750000</v>
      </c>
      <c r="G13" s="17">
        <v>24193.55</v>
      </c>
      <c r="H13" s="1"/>
      <c r="I13" s="1" t="s">
        <v>21</v>
      </c>
      <c r="J13" s="1" t="s">
        <v>22</v>
      </c>
      <c r="K13" s="1" t="s">
        <v>23</v>
      </c>
      <c r="L13" s="1"/>
      <c r="M13" s="1" t="s">
        <v>17</v>
      </c>
      <c r="N13" s="1" t="s">
        <v>24</v>
      </c>
      <c r="O13" s="31">
        <v>2</v>
      </c>
      <c r="P13" s="31">
        <v>2</v>
      </c>
      <c r="Q13" s="32">
        <v>2016</v>
      </c>
    </row>
    <row r="14" spans="1:17" x14ac:dyDescent="0.25">
      <c r="A14" s="1" t="s">
        <v>19</v>
      </c>
      <c r="B14" s="31">
        <v>31</v>
      </c>
      <c r="C14" s="1" t="s">
        <v>20</v>
      </c>
      <c r="D14" s="2">
        <v>42675</v>
      </c>
      <c r="E14" s="2">
        <v>42675</v>
      </c>
      <c r="F14" s="17">
        <v>750000</v>
      </c>
      <c r="G14" s="17">
        <v>24193.55</v>
      </c>
      <c r="H14" s="1"/>
      <c r="I14" s="1" t="s">
        <v>21</v>
      </c>
      <c r="J14" s="1" t="s">
        <v>22</v>
      </c>
      <c r="K14" s="1" t="s">
        <v>23</v>
      </c>
      <c r="L14" s="1"/>
      <c r="M14" s="1" t="s">
        <v>17</v>
      </c>
      <c r="N14" s="1" t="s">
        <v>24</v>
      </c>
      <c r="O14" s="31">
        <v>2</v>
      </c>
      <c r="P14" s="31">
        <v>2</v>
      </c>
      <c r="Q14" s="32">
        <v>2016</v>
      </c>
    </row>
    <row r="15" spans="1:17" x14ac:dyDescent="0.25">
      <c r="A15" s="1" t="s">
        <v>30</v>
      </c>
      <c r="B15" s="31">
        <v>36.6</v>
      </c>
      <c r="C15" s="1" t="s">
        <v>20</v>
      </c>
      <c r="D15" s="2">
        <v>42795</v>
      </c>
      <c r="E15" s="2">
        <v>42795</v>
      </c>
      <c r="F15" s="17">
        <v>1000000</v>
      </c>
      <c r="G15" s="17">
        <v>27322.400000000001</v>
      </c>
      <c r="H15" s="1"/>
      <c r="I15" s="1" t="s">
        <v>21</v>
      </c>
      <c r="J15" s="1" t="s">
        <v>22</v>
      </c>
      <c r="K15" s="1" t="s">
        <v>23</v>
      </c>
      <c r="L15" s="1"/>
      <c r="M15" s="1" t="s">
        <v>17</v>
      </c>
      <c r="N15" s="1" t="s">
        <v>24</v>
      </c>
      <c r="O15" s="31">
        <v>4</v>
      </c>
      <c r="P15" s="31">
        <v>2</v>
      </c>
      <c r="Q15" s="32">
        <v>2011</v>
      </c>
    </row>
    <row r="16" spans="1:17" x14ac:dyDescent="0.25">
      <c r="A16" s="1" t="s">
        <v>30</v>
      </c>
      <c r="B16" s="31">
        <v>36.6</v>
      </c>
      <c r="C16" s="1" t="s">
        <v>20</v>
      </c>
      <c r="D16" s="2">
        <v>42795</v>
      </c>
      <c r="E16" s="2">
        <v>42795</v>
      </c>
      <c r="F16" s="17">
        <v>1000000</v>
      </c>
      <c r="G16" s="17">
        <v>27322.400000000001</v>
      </c>
      <c r="H16" s="1"/>
      <c r="I16" s="1" t="s">
        <v>21</v>
      </c>
      <c r="J16" s="1" t="s">
        <v>22</v>
      </c>
      <c r="K16" s="1" t="s">
        <v>23</v>
      </c>
      <c r="L16" s="1"/>
      <c r="M16" s="1" t="s">
        <v>17</v>
      </c>
      <c r="N16" s="1" t="s">
        <v>24</v>
      </c>
      <c r="O16" s="31">
        <v>4</v>
      </c>
      <c r="P16" s="31">
        <v>2</v>
      </c>
      <c r="Q16" s="32">
        <v>2011</v>
      </c>
    </row>
    <row r="17" spans="1:17" x14ac:dyDescent="0.25">
      <c r="A17" s="1" t="s">
        <v>31</v>
      </c>
      <c r="B17" s="31">
        <v>49.9</v>
      </c>
      <c r="C17" s="1" t="s">
        <v>20</v>
      </c>
      <c r="D17" s="2">
        <v>42705</v>
      </c>
      <c r="E17" s="2">
        <v>42736</v>
      </c>
      <c r="F17" s="17">
        <v>1413000</v>
      </c>
      <c r="G17" s="17">
        <v>28316.63</v>
      </c>
      <c r="H17" s="1"/>
      <c r="I17" s="1" t="s">
        <v>21</v>
      </c>
      <c r="J17" s="1" t="s">
        <v>32</v>
      </c>
      <c r="K17" s="1" t="s">
        <v>23</v>
      </c>
      <c r="L17" s="1"/>
      <c r="M17" s="1" t="s">
        <v>17</v>
      </c>
      <c r="N17" s="1" t="s">
        <v>33</v>
      </c>
      <c r="O17" s="31">
        <v>2</v>
      </c>
      <c r="P17" s="31">
        <v>1</v>
      </c>
      <c r="Q17" s="32">
        <v>2016</v>
      </c>
    </row>
    <row r="18" spans="1:17" x14ac:dyDescent="0.25">
      <c r="A18" s="1" t="s">
        <v>28</v>
      </c>
      <c r="B18" s="31">
        <v>46.6</v>
      </c>
      <c r="C18" s="1" t="s">
        <v>20</v>
      </c>
      <c r="D18" s="2">
        <v>42644</v>
      </c>
      <c r="E18" s="2">
        <v>42644</v>
      </c>
      <c r="F18" s="17">
        <v>1784000</v>
      </c>
      <c r="G18" s="17">
        <v>38283.26</v>
      </c>
      <c r="H18" s="1"/>
      <c r="I18" s="1" t="s">
        <v>21</v>
      </c>
      <c r="J18" s="1" t="s">
        <v>22</v>
      </c>
      <c r="K18" s="1" t="s">
        <v>23</v>
      </c>
      <c r="L18" s="1"/>
      <c r="M18" s="1" t="s">
        <v>17</v>
      </c>
      <c r="N18" s="1" t="s">
        <v>29</v>
      </c>
      <c r="O18" s="31">
        <v>3</v>
      </c>
      <c r="P18" s="31">
        <v>2</v>
      </c>
      <c r="Q18" s="32">
        <v>2014</v>
      </c>
    </row>
    <row r="19" spans="1:17" x14ac:dyDescent="0.25">
      <c r="A19" s="1" t="s">
        <v>28</v>
      </c>
      <c r="B19" s="31">
        <v>46.6</v>
      </c>
      <c r="C19" s="1" t="s">
        <v>20</v>
      </c>
      <c r="D19" s="2">
        <v>42644</v>
      </c>
      <c r="E19" s="2">
        <v>42644</v>
      </c>
      <c r="F19" s="17">
        <v>1784000</v>
      </c>
      <c r="G19" s="17">
        <v>38283.26</v>
      </c>
      <c r="H19" s="1"/>
      <c r="I19" s="1" t="s">
        <v>21</v>
      </c>
      <c r="J19" s="1" t="s">
        <v>22</v>
      </c>
      <c r="K19" s="1" t="s">
        <v>23</v>
      </c>
      <c r="L19" s="1"/>
      <c r="M19" s="1" t="s">
        <v>17</v>
      </c>
      <c r="N19" s="1" t="s">
        <v>29</v>
      </c>
      <c r="O19" s="31">
        <v>3</v>
      </c>
      <c r="P19" s="31">
        <v>2</v>
      </c>
      <c r="Q19" s="32">
        <v>2014</v>
      </c>
    </row>
    <row r="20" spans="1:17" x14ac:dyDescent="0.25">
      <c r="A20" s="1" t="s">
        <v>30</v>
      </c>
      <c r="B20" s="31">
        <v>30.2</v>
      </c>
      <c r="C20" s="1" t="s">
        <v>20</v>
      </c>
      <c r="D20" s="2">
        <v>42795</v>
      </c>
      <c r="E20" s="2">
        <v>42795</v>
      </c>
      <c r="F20" s="17">
        <v>1190000</v>
      </c>
      <c r="G20" s="17">
        <v>39403.97</v>
      </c>
      <c r="H20" s="1"/>
      <c r="I20" s="1" t="s">
        <v>21</v>
      </c>
      <c r="J20" s="1" t="s">
        <v>22</v>
      </c>
      <c r="K20" s="1" t="s">
        <v>23</v>
      </c>
      <c r="L20" s="1"/>
      <c r="M20" s="1" t="s">
        <v>17</v>
      </c>
      <c r="N20" s="1" t="s">
        <v>27</v>
      </c>
      <c r="O20" s="31">
        <v>2</v>
      </c>
      <c r="P20" s="31">
        <v>1</v>
      </c>
      <c r="Q20" s="32">
        <v>2015</v>
      </c>
    </row>
    <row r="21" spans="1:17" x14ac:dyDescent="0.25">
      <c r="A21" s="1" t="s">
        <v>19</v>
      </c>
      <c r="B21" s="31">
        <v>51.5</v>
      </c>
      <c r="C21" s="1" t="s">
        <v>20</v>
      </c>
      <c r="D21" s="2">
        <v>42767</v>
      </c>
      <c r="E21" s="2">
        <v>42767</v>
      </c>
      <c r="F21" s="17">
        <v>2050000</v>
      </c>
      <c r="G21" s="17">
        <v>39805.83</v>
      </c>
      <c r="H21" s="1"/>
      <c r="I21" s="1" t="s">
        <v>21</v>
      </c>
      <c r="J21" s="1" t="s">
        <v>22</v>
      </c>
      <c r="K21" s="1" t="s">
        <v>23</v>
      </c>
      <c r="L21" s="1"/>
      <c r="M21" s="1" t="s">
        <v>17</v>
      </c>
      <c r="N21" s="1" t="s">
        <v>24</v>
      </c>
      <c r="O21" s="31">
        <v>1</v>
      </c>
      <c r="P21" s="31">
        <v>1</v>
      </c>
      <c r="Q21" s="32">
        <v>2007</v>
      </c>
    </row>
    <row r="22" spans="1:17" x14ac:dyDescent="0.25">
      <c r="A22" s="1" t="s">
        <v>19</v>
      </c>
      <c r="B22" s="31">
        <v>61.8</v>
      </c>
      <c r="C22" s="1" t="s">
        <v>20</v>
      </c>
      <c r="D22" s="2">
        <v>42644</v>
      </c>
      <c r="E22" s="2">
        <v>42644</v>
      </c>
      <c r="F22" s="17">
        <v>2522000</v>
      </c>
      <c r="G22" s="17">
        <v>40809.06</v>
      </c>
      <c r="H22" s="1"/>
      <c r="I22" s="1" t="s">
        <v>21</v>
      </c>
      <c r="J22" s="1" t="s">
        <v>22</v>
      </c>
      <c r="K22" s="1" t="s">
        <v>23</v>
      </c>
      <c r="L22" s="1"/>
      <c r="M22" s="1" t="s">
        <v>17</v>
      </c>
      <c r="N22" s="1" t="s">
        <v>27</v>
      </c>
      <c r="O22" s="31">
        <v>3</v>
      </c>
      <c r="P22" s="31">
        <v>2</v>
      </c>
      <c r="Q22" s="32">
        <v>2008</v>
      </c>
    </row>
    <row r="23" spans="1:17" x14ac:dyDescent="0.25">
      <c r="A23" s="1" t="s">
        <v>19</v>
      </c>
      <c r="B23" s="31">
        <v>61.8</v>
      </c>
      <c r="C23" s="1" t="s">
        <v>20</v>
      </c>
      <c r="D23" s="2">
        <v>42644</v>
      </c>
      <c r="E23" s="2">
        <v>42644</v>
      </c>
      <c r="F23" s="17">
        <v>2522000</v>
      </c>
      <c r="G23" s="17">
        <v>40809.06</v>
      </c>
      <c r="H23" s="1"/>
      <c r="I23" s="1" t="s">
        <v>21</v>
      </c>
      <c r="J23" s="1" t="s">
        <v>22</v>
      </c>
      <c r="K23" s="1" t="s">
        <v>23</v>
      </c>
      <c r="L23" s="1"/>
      <c r="M23" s="1" t="s">
        <v>17</v>
      </c>
      <c r="N23" s="1" t="s">
        <v>27</v>
      </c>
      <c r="O23" s="31">
        <v>3</v>
      </c>
      <c r="P23" s="31">
        <v>2</v>
      </c>
      <c r="Q23" s="32">
        <v>2008</v>
      </c>
    </row>
    <row r="24" spans="1:17" x14ac:dyDescent="0.25">
      <c r="A24" s="1" t="s">
        <v>19</v>
      </c>
      <c r="B24" s="31">
        <v>30</v>
      </c>
      <c r="C24" s="1" t="s">
        <v>20</v>
      </c>
      <c r="D24" s="2">
        <v>42644</v>
      </c>
      <c r="E24" s="2">
        <v>42644</v>
      </c>
      <c r="F24" s="17">
        <v>1250000</v>
      </c>
      <c r="G24" s="17">
        <v>41666.67</v>
      </c>
      <c r="H24" s="1"/>
      <c r="I24" s="1" t="s">
        <v>21</v>
      </c>
      <c r="J24" s="1" t="s">
        <v>22</v>
      </c>
      <c r="K24" s="1" t="s">
        <v>23</v>
      </c>
      <c r="L24" s="1"/>
      <c r="M24" s="1" t="s">
        <v>17</v>
      </c>
      <c r="N24" s="1" t="s">
        <v>24</v>
      </c>
      <c r="O24" s="31">
        <v>3</v>
      </c>
      <c r="P24" s="31">
        <v>2</v>
      </c>
      <c r="Q24" s="32">
        <v>2000</v>
      </c>
    </row>
    <row r="25" spans="1:17" x14ac:dyDescent="0.25">
      <c r="A25" s="1" t="s">
        <v>19</v>
      </c>
      <c r="B25" s="31">
        <v>30</v>
      </c>
      <c r="C25" s="1" t="s">
        <v>20</v>
      </c>
      <c r="D25" s="2">
        <v>42644</v>
      </c>
      <c r="E25" s="2">
        <v>42644</v>
      </c>
      <c r="F25" s="17">
        <v>1250000</v>
      </c>
      <c r="G25" s="17">
        <v>41666.67</v>
      </c>
      <c r="H25" s="1"/>
      <c r="I25" s="1" t="s">
        <v>21</v>
      </c>
      <c r="J25" s="1" t="s">
        <v>22</v>
      </c>
      <c r="K25" s="1" t="s">
        <v>23</v>
      </c>
      <c r="L25" s="1"/>
      <c r="M25" s="1" t="s">
        <v>17</v>
      </c>
      <c r="N25" s="1" t="s">
        <v>24</v>
      </c>
      <c r="O25" s="31">
        <v>3</v>
      </c>
      <c r="P25" s="31">
        <v>2</v>
      </c>
      <c r="Q25" s="32">
        <v>2000</v>
      </c>
    </row>
    <row r="26" spans="1:17" x14ac:dyDescent="0.25">
      <c r="A26" s="1" t="s">
        <v>25</v>
      </c>
      <c r="B26" s="31">
        <v>46.7</v>
      </c>
      <c r="C26" s="1" t="s">
        <v>20</v>
      </c>
      <c r="D26" s="2">
        <v>42705</v>
      </c>
      <c r="E26" s="2">
        <v>42705</v>
      </c>
      <c r="F26" s="17">
        <v>2118000</v>
      </c>
      <c r="G26" s="17">
        <v>45353.32</v>
      </c>
      <c r="H26" s="1"/>
      <c r="I26" s="1" t="s">
        <v>21</v>
      </c>
      <c r="J26" s="1" t="s">
        <v>22</v>
      </c>
      <c r="K26" s="1" t="s">
        <v>23</v>
      </c>
      <c r="L26" s="1"/>
      <c r="M26" s="1" t="s">
        <v>17</v>
      </c>
      <c r="N26" s="1" t="s">
        <v>26</v>
      </c>
      <c r="O26" s="31">
        <v>1</v>
      </c>
      <c r="P26" s="31">
        <v>1</v>
      </c>
      <c r="Q26" s="32">
        <v>2010</v>
      </c>
    </row>
    <row r="27" spans="1:17" s="9" customFormat="1" ht="15.75" thickBot="1" x14ac:dyDescent="0.3">
      <c r="A27" s="25"/>
      <c r="B27" s="33"/>
      <c r="C27" s="25"/>
      <c r="D27" s="25"/>
      <c r="E27" s="25"/>
      <c r="F27" s="26"/>
      <c r="G27" s="26">
        <f>SUM(G5:G26)/22</f>
        <v>29618.328636363636</v>
      </c>
      <c r="H27" s="25"/>
      <c r="I27" s="25"/>
      <c r="J27" s="25"/>
      <c r="K27" s="25"/>
      <c r="L27" s="25"/>
      <c r="M27" s="25"/>
      <c r="N27" s="25"/>
      <c r="O27" s="33"/>
      <c r="P27" s="33"/>
      <c r="Q27" s="34"/>
    </row>
    <row r="28" spans="1:17" s="6" customFormat="1" x14ac:dyDescent="0.25">
      <c r="A28" s="4" t="s">
        <v>34</v>
      </c>
      <c r="B28" s="35"/>
      <c r="C28" s="5"/>
      <c r="D28" s="5"/>
      <c r="E28" s="5"/>
      <c r="F28" s="19"/>
      <c r="G28" s="19"/>
      <c r="H28" s="5"/>
      <c r="I28" s="5"/>
      <c r="J28" s="5"/>
      <c r="K28" s="5"/>
      <c r="L28" s="5"/>
      <c r="M28" s="5"/>
      <c r="N28" s="5"/>
      <c r="O28" s="35"/>
      <c r="P28" s="35"/>
      <c r="Q28" s="36"/>
    </row>
    <row r="29" spans="1:17" x14ac:dyDescent="0.25">
      <c r="A29" s="1" t="s">
        <v>35</v>
      </c>
      <c r="B29" s="31">
        <v>52.6</v>
      </c>
      <c r="C29" s="1" t="s">
        <v>20</v>
      </c>
      <c r="D29" s="2">
        <v>42644</v>
      </c>
      <c r="E29" s="2">
        <v>42644</v>
      </c>
      <c r="F29" s="17">
        <v>700000</v>
      </c>
      <c r="G29" s="17">
        <v>13307.98</v>
      </c>
      <c r="H29" s="1"/>
      <c r="I29" s="1" t="s">
        <v>21</v>
      </c>
      <c r="J29" s="1" t="s">
        <v>22</v>
      </c>
      <c r="K29" s="1" t="s">
        <v>36</v>
      </c>
      <c r="L29" s="1"/>
      <c r="M29" s="1" t="s">
        <v>34</v>
      </c>
      <c r="N29" s="1" t="s">
        <v>37</v>
      </c>
      <c r="O29" s="31">
        <v>2</v>
      </c>
      <c r="P29" s="31">
        <v>1</v>
      </c>
      <c r="Q29" s="32">
        <v>2008</v>
      </c>
    </row>
    <row r="30" spans="1:17" x14ac:dyDescent="0.25">
      <c r="A30" s="1" t="s">
        <v>40</v>
      </c>
      <c r="B30" s="31">
        <v>32.4</v>
      </c>
      <c r="C30" s="1" t="s">
        <v>20</v>
      </c>
      <c r="D30" s="2">
        <v>42767</v>
      </c>
      <c r="E30" s="2">
        <v>42767</v>
      </c>
      <c r="F30" s="17">
        <v>454000</v>
      </c>
      <c r="G30" s="17">
        <v>14012.35</v>
      </c>
      <c r="H30" s="1"/>
      <c r="I30" s="1" t="s">
        <v>21</v>
      </c>
      <c r="J30" s="1" t="s">
        <v>22</v>
      </c>
      <c r="K30" s="1" t="s">
        <v>36</v>
      </c>
      <c r="L30" s="1"/>
      <c r="M30" s="1" t="s">
        <v>34</v>
      </c>
      <c r="N30" s="1" t="s">
        <v>41</v>
      </c>
      <c r="O30" s="31">
        <v>1</v>
      </c>
      <c r="P30" s="31">
        <v>1</v>
      </c>
      <c r="Q30" s="32">
        <v>2016</v>
      </c>
    </row>
    <row r="31" spans="1:17" x14ac:dyDescent="0.25">
      <c r="A31" s="1" t="s">
        <v>38</v>
      </c>
      <c r="B31" s="31">
        <v>49.4</v>
      </c>
      <c r="C31" s="1" t="s">
        <v>20</v>
      </c>
      <c r="D31" s="2">
        <v>42583</v>
      </c>
      <c r="E31" s="2">
        <v>42705</v>
      </c>
      <c r="F31" s="17">
        <v>1619134</v>
      </c>
      <c r="G31" s="17">
        <v>32775.99</v>
      </c>
      <c r="H31" s="1"/>
      <c r="I31" s="1" t="s">
        <v>21</v>
      </c>
      <c r="J31" s="1" t="s">
        <v>32</v>
      </c>
      <c r="K31" s="1" t="s">
        <v>36</v>
      </c>
      <c r="L31" s="1"/>
      <c r="M31" s="1" t="s">
        <v>34</v>
      </c>
      <c r="N31" s="1" t="s">
        <v>39</v>
      </c>
      <c r="O31" s="31">
        <v>2</v>
      </c>
      <c r="P31" s="31">
        <v>1</v>
      </c>
      <c r="Q31" s="32">
        <v>2016</v>
      </c>
    </row>
    <row r="32" spans="1:17" s="9" customFormat="1" ht="15.75" thickBot="1" x14ac:dyDescent="0.3">
      <c r="A32" s="25"/>
      <c r="B32" s="33"/>
      <c r="C32" s="25"/>
      <c r="D32" s="25"/>
      <c r="E32" s="25"/>
      <c r="F32" s="26"/>
      <c r="G32" s="26">
        <f>SUM(G29:G31)/3</f>
        <v>20032.106666666667</v>
      </c>
      <c r="H32" s="25"/>
      <c r="I32" s="25"/>
      <c r="J32" s="25"/>
      <c r="K32" s="25"/>
      <c r="L32" s="25"/>
      <c r="M32" s="25"/>
      <c r="N32" s="25"/>
      <c r="O32" s="33"/>
      <c r="P32" s="33"/>
      <c r="Q32" s="34"/>
    </row>
    <row r="33" spans="1:17" s="6" customFormat="1" x14ac:dyDescent="0.25">
      <c r="A33" s="4" t="s">
        <v>42</v>
      </c>
      <c r="B33" s="35"/>
      <c r="C33" s="5"/>
      <c r="D33" s="5"/>
      <c r="E33" s="5"/>
      <c r="F33" s="19"/>
      <c r="G33" s="19"/>
      <c r="H33" s="5"/>
      <c r="I33" s="5"/>
      <c r="J33" s="5"/>
      <c r="K33" s="5"/>
      <c r="L33" s="5"/>
      <c r="M33" s="5"/>
      <c r="N33" s="5"/>
      <c r="O33" s="35"/>
      <c r="P33" s="35"/>
      <c r="Q33" s="36"/>
    </row>
    <row r="34" spans="1:17" x14ac:dyDescent="0.25">
      <c r="A34" s="3" t="s">
        <v>43</v>
      </c>
      <c r="B34" s="31">
        <v>66.7</v>
      </c>
      <c r="C34" s="1" t="s">
        <v>20</v>
      </c>
      <c r="D34" s="2">
        <v>42767</v>
      </c>
      <c r="E34" s="2">
        <v>42767</v>
      </c>
      <c r="F34" s="17">
        <v>454000</v>
      </c>
      <c r="G34" s="17">
        <v>6806.6</v>
      </c>
      <c r="H34" s="1"/>
      <c r="I34" s="1" t="s">
        <v>21</v>
      </c>
      <c r="J34" s="1" t="s">
        <v>22</v>
      </c>
      <c r="K34" s="1" t="s">
        <v>44</v>
      </c>
      <c r="L34" s="1"/>
      <c r="M34" s="1" t="s">
        <v>42</v>
      </c>
      <c r="N34" s="1" t="s">
        <v>45</v>
      </c>
      <c r="O34" s="31">
        <v>1</v>
      </c>
      <c r="P34" s="31">
        <v>1</v>
      </c>
      <c r="Q34" s="32">
        <v>2006</v>
      </c>
    </row>
    <row r="35" spans="1:17" s="9" customFormat="1" ht="15.75" thickBot="1" x14ac:dyDescent="0.3">
      <c r="A35" s="27"/>
      <c r="B35" s="37"/>
      <c r="C35" s="28"/>
      <c r="D35" s="29"/>
      <c r="E35" s="29"/>
      <c r="F35" s="30"/>
      <c r="G35" s="30">
        <f>G34</f>
        <v>6806.6</v>
      </c>
      <c r="H35" s="28"/>
      <c r="I35" s="28"/>
      <c r="J35" s="28"/>
      <c r="K35" s="28"/>
      <c r="L35" s="28"/>
      <c r="M35" s="28"/>
      <c r="N35" s="28"/>
      <c r="O35" s="37"/>
      <c r="P35" s="37"/>
      <c r="Q35" s="38"/>
    </row>
    <row r="36" spans="1:17" s="6" customFormat="1" x14ac:dyDescent="0.25">
      <c r="A36" s="11" t="s">
        <v>46</v>
      </c>
      <c r="B36" s="39"/>
      <c r="C36" s="12"/>
      <c r="D36" s="12"/>
      <c r="E36" s="12"/>
      <c r="F36" s="24"/>
      <c r="G36" s="24"/>
      <c r="H36" s="12"/>
      <c r="I36" s="12"/>
      <c r="J36" s="12"/>
      <c r="K36" s="12"/>
      <c r="L36" s="12"/>
      <c r="M36" s="12"/>
      <c r="N36" s="12"/>
      <c r="O36" s="39"/>
      <c r="P36" s="39"/>
      <c r="Q36" s="40"/>
    </row>
    <row r="37" spans="1:17" x14ac:dyDescent="0.25">
      <c r="A37" s="1" t="s">
        <v>54</v>
      </c>
      <c r="B37" s="31">
        <v>37.700000000000003</v>
      </c>
      <c r="C37" s="1" t="s">
        <v>20</v>
      </c>
      <c r="D37" s="2">
        <v>42767</v>
      </c>
      <c r="E37" s="2">
        <v>42795</v>
      </c>
      <c r="F37" s="17">
        <v>453026</v>
      </c>
      <c r="G37" s="17">
        <v>12016.6</v>
      </c>
      <c r="H37" s="1"/>
      <c r="I37" s="1" t="s">
        <v>21</v>
      </c>
      <c r="J37" s="1" t="s">
        <v>22</v>
      </c>
      <c r="K37" s="1" t="s">
        <v>48</v>
      </c>
      <c r="L37" s="1"/>
      <c r="M37" s="1" t="s">
        <v>46</v>
      </c>
      <c r="N37" s="1" t="s">
        <v>55</v>
      </c>
      <c r="O37" s="31">
        <v>1</v>
      </c>
      <c r="P37" s="31">
        <v>1</v>
      </c>
      <c r="Q37" s="32">
        <v>2015</v>
      </c>
    </row>
    <row r="38" spans="1:17" x14ac:dyDescent="0.25">
      <c r="A38" s="1" t="s">
        <v>50</v>
      </c>
      <c r="B38" s="31">
        <v>52.4</v>
      </c>
      <c r="C38" s="1" t="s">
        <v>20</v>
      </c>
      <c r="D38" s="2">
        <v>42767</v>
      </c>
      <c r="E38" s="2">
        <v>42767</v>
      </c>
      <c r="F38" s="17">
        <v>775000</v>
      </c>
      <c r="G38" s="17">
        <v>14790.08</v>
      </c>
      <c r="H38" s="1"/>
      <c r="I38" s="1" t="s">
        <v>21</v>
      </c>
      <c r="J38" s="1" t="s">
        <v>18</v>
      </c>
      <c r="K38" s="1" t="s">
        <v>48</v>
      </c>
      <c r="L38" s="1"/>
      <c r="M38" s="1" t="s">
        <v>46</v>
      </c>
      <c r="N38" s="1" t="s">
        <v>51</v>
      </c>
      <c r="O38" s="31">
        <v>1</v>
      </c>
      <c r="P38" s="31">
        <v>1</v>
      </c>
      <c r="Q38" s="32">
        <v>2010</v>
      </c>
    </row>
    <row r="39" spans="1:17" x14ac:dyDescent="0.25">
      <c r="A39" s="1" t="s">
        <v>52</v>
      </c>
      <c r="B39" s="31">
        <v>32.1</v>
      </c>
      <c r="C39" s="1" t="s">
        <v>20</v>
      </c>
      <c r="D39" s="2">
        <v>42705</v>
      </c>
      <c r="E39" s="2">
        <v>42705</v>
      </c>
      <c r="F39" s="17">
        <v>500000</v>
      </c>
      <c r="G39" s="17">
        <v>15576.32</v>
      </c>
      <c r="H39" s="1"/>
      <c r="I39" s="1" t="s">
        <v>21</v>
      </c>
      <c r="J39" s="1" t="s">
        <v>22</v>
      </c>
      <c r="K39" s="1" t="s">
        <v>48</v>
      </c>
      <c r="L39" s="1"/>
      <c r="M39" s="1" t="s">
        <v>46</v>
      </c>
      <c r="N39" s="1" t="s">
        <v>53</v>
      </c>
      <c r="O39" s="31">
        <v>3</v>
      </c>
      <c r="P39" s="31">
        <v>1</v>
      </c>
      <c r="Q39" s="32">
        <v>2012</v>
      </c>
    </row>
    <row r="40" spans="1:17" x14ac:dyDescent="0.25">
      <c r="A40" s="1" t="s">
        <v>50</v>
      </c>
      <c r="B40" s="31">
        <v>43.5</v>
      </c>
      <c r="C40" s="1" t="s">
        <v>20</v>
      </c>
      <c r="D40" s="2">
        <v>42675</v>
      </c>
      <c r="E40" s="2">
        <v>42705</v>
      </c>
      <c r="F40" s="17">
        <v>700000</v>
      </c>
      <c r="G40" s="17">
        <v>16091.95</v>
      </c>
      <c r="H40" s="1"/>
      <c r="I40" s="1" t="s">
        <v>21</v>
      </c>
      <c r="J40" s="1" t="s">
        <v>22</v>
      </c>
      <c r="K40" s="1" t="s">
        <v>48</v>
      </c>
      <c r="L40" s="1"/>
      <c r="M40" s="1" t="s">
        <v>46</v>
      </c>
      <c r="N40" s="1" t="s">
        <v>51</v>
      </c>
      <c r="O40" s="31">
        <v>2</v>
      </c>
      <c r="P40" s="31">
        <v>1</v>
      </c>
      <c r="Q40" s="32">
        <v>2008</v>
      </c>
    </row>
    <row r="41" spans="1:17" x14ac:dyDescent="0.25">
      <c r="A41" s="1" t="s">
        <v>47</v>
      </c>
      <c r="B41" s="31">
        <v>40.299999999999997</v>
      </c>
      <c r="C41" s="1" t="s">
        <v>20</v>
      </c>
      <c r="D41" s="2">
        <v>42644</v>
      </c>
      <c r="E41" s="2">
        <v>42644</v>
      </c>
      <c r="F41" s="17">
        <v>996000</v>
      </c>
      <c r="G41" s="17">
        <v>24714.639999999999</v>
      </c>
      <c r="H41" s="1"/>
      <c r="I41" s="1" t="s">
        <v>21</v>
      </c>
      <c r="J41" s="1" t="s">
        <v>22</v>
      </c>
      <c r="K41" s="1" t="s">
        <v>48</v>
      </c>
      <c r="L41" s="1"/>
      <c r="M41" s="1" t="s">
        <v>46</v>
      </c>
      <c r="N41" s="1" t="s">
        <v>49</v>
      </c>
      <c r="O41" s="31">
        <v>2</v>
      </c>
      <c r="P41" s="31">
        <v>1</v>
      </c>
      <c r="Q41" s="32">
        <v>2002</v>
      </c>
    </row>
    <row r="42" spans="1:17" s="9" customFormat="1" ht="15.75" thickBot="1" x14ac:dyDescent="0.3">
      <c r="A42" s="25"/>
      <c r="B42" s="33"/>
      <c r="C42" s="25"/>
      <c r="D42" s="25"/>
      <c r="E42" s="25"/>
      <c r="F42" s="26"/>
      <c r="G42" s="26">
        <f>SUM(G37:G41)/5</f>
        <v>16637.917999999998</v>
      </c>
      <c r="H42" s="25"/>
      <c r="I42" s="25"/>
      <c r="J42" s="25"/>
      <c r="K42" s="25"/>
      <c r="L42" s="25"/>
      <c r="M42" s="25"/>
      <c r="N42" s="25"/>
      <c r="O42" s="33"/>
      <c r="P42" s="33"/>
      <c r="Q42" s="34"/>
    </row>
    <row r="43" spans="1:17" s="6" customFormat="1" x14ac:dyDescent="0.25">
      <c r="A43" s="4" t="s">
        <v>56</v>
      </c>
      <c r="B43" s="35"/>
      <c r="C43" s="5"/>
      <c r="D43" s="5"/>
      <c r="E43" s="5"/>
      <c r="F43" s="19"/>
      <c r="G43" s="19"/>
      <c r="H43" s="5"/>
      <c r="I43" s="5"/>
      <c r="J43" s="5"/>
      <c r="K43" s="5"/>
      <c r="L43" s="5"/>
      <c r="M43" s="5"/>
      <c r="N43" s="5"/>
      <c r="O43" s="35"/>
      <c r="P43" s="35"/>
      <c r="Q43" s="36"/>
    </row>
    <row r="44" spans="1:17" x14ac:dyDescent="0.25">
      <c r="A44" s="1" t="s">
        <v>57</v>
      </c>
      <c r="B44" s="31">
        <v>46.5</v>
      </c>
      <c r="C44" s="1" t="s">
        <v>20</v>
      </c>
      <c r="D44" s="2">
        <v>42767</v>
      </c>
      <c r="E44" s="2">
        <v>42767</v>
      </c>
      <c r="F44" s="17">
        <v>500000</v>
      </c>
      <c r="G44" s="17">
        <v>10752.69</v>
      </c>
      <c r="H44" s="1"/>
      <c r="I44" s="1" t="s">
        <v>21</v>
      </c>
      <c r="J44" s="1" t="s">
        <v>32</v>
      </c>
      <c r="K44" s="1" t="s">
        <v>58</v>
      </c>
      <c r="L44" s="1" t="s">
        <v>56</v>
      </c>
      <c r="M44" s="1"/>
      <c r="N44" s="1" t="s">
        <v>63</v>
      </c>
      <c r="O44" s="31">
        <v>2</v>
      </c>
      <c r="P44" s="31">
        <v>1</v>
      </c>
      <c r="Q44" s="32">
        <v>2001</v>
      </c>
    </row>
    <row r="45" spans="1:17" x14ac:dyDescent="0.25">
      <c r="A45" s="1" t="s">
        <v>57</v>
      </c>
      <c r="B45" s="31">
        <v>26.9</v>
      </c>
      <c r="C45" s="1" t="s">
        <v>20</v>
      </c>
      <c r="D45" s="2">
        <v>42644</v>
      </c>
      <c r="E45" s="2">
        <v>42644</v>
      </c>
      <c r="F45" s="17">
        <v>350000</v>
      </c>
      <c r="G45" s="17">
        <v>13011.15</v>
      </c>
      <c r="H45" s="1"/>
      <c r="I45" s="1" t="s">
        <v>21</v>
      </c>
      <c r="J45" s="1" t="s">
        <v>32</v>
      </c>
      <c r="K45" s="1" t="s">
        <v>58</v>
      </c>
      <c r="L45" s="1" t="s">
        <v>56</v>
      </c>
      <c r="M45" s="1"/>
      <c r="N45" s="1" t="s">
        <v>59</v>
      </c>
      <c r="O45" s="31">
        <v>3</v>
      </c>
      <c r="P45" s="31">
        <v>1</v>
      </c>
      <c r="Q45" s="32">
        <v>2011</v>
      </c>
    </row>
    <row r="46" spans="1:17" x14ac:dyDescent="0.25">
      <c r="A46" s="1" t="s">
        <v>60</v>
      </c>
      <c r="B46" s="31">
        <v>45.3</v>
      </c>
      <c r="C46" s="1" t="s">
        <v>20</v>
      </c>
      <c r="D46" s="2">
        <v>42614</v>
      </c>
      <c r="E46" s="2">
        <v>42644</v>
      </c>
      <c r="F46" s="17">
        <v>620000</v>
      </c>
      <c r="G46" s="17">
        <v>13686.53</v>
      </c>
      <c r="H46" s="1"/>
      <c r="I46" s="1" t="s">
        <v>21</v>
      </c>
      <c r="J46" s="1" t="s">
        <v>32</v>
      </c>
      <c r="K46" s="1" t="s">
        <v>58</v>
      </c>
      <c r="L46" s="1" t="s">
        <v>56</v>
      </c>
      <c r="M46" s="1"/>
      <c r="N46" s="1" t="s">
        <v>61</v>
      </c>
      <c r="O46" s="31">
        <v>3</v>
      </c>
      <c r="P46" s="31">
        <v>2</v>
      </c>
      <c r="Q46" s="32">
        <v>2011</v>
      </c>
    </row>
    <row r="47" spans="1:17" x14ac:dyDescent="0.25">
      <c r="A47" s="1" t="s">
        <v>60</v>
      </c>
      <c r="B47" s="31">
        <v>45.3</v>
      </c>
      <c r="C47" s="1" t="s">
        <v>20</v>
      </c>
      <c r="D47" s="2">
        <v>42614</v>
      </c>
      <c r="E47" s="2">
        <v>42644</v>
      </c>
      <c r="F47" s="17">
        <v>620000</v>
      </c>
      <c r="G47" s="17">
        <v>13686.53</v>
      </c>
      <c r="H47" s="1"/>
      <c r="I47" s="1" t="s">
        <v>21</v>
      </c>
      <c r="J47" s="1" t="s">
        <v>32</v>
      </c>
      <c r="K47" s="1" t="s">
        <v>58</v>
      </c>
      <c r="L47" s="1" t="s">
        <v>56</v>
      </c>
      <c r="M47" s="1"/>
      <c r="N47" s="1" t="s">
        <v>61</v>
      </c>
      <c r="O47" s="31">
        <v>3</v>
      </c>
      <c r="P47" s="31">
        <v>2</v>
      </c>
      <c r="Q47" s="32">
        <v>2011</v>
      </c>
    </row>
    <row r="48" spans="1:17" x14ac:dyDescent="0.25">
      <c r="A48" s="1" t="s">
        <v>57</v>
      </c>
      <c r="B48" s="31">
        <v>43.4</v>
      </c>
      <c r="C48" s="1" t="s">
        <v>20</v>
      </c>
      <c r="D48" s="2">
        <v>42675</v>
      </c>
      <c r="E48" s="2">
        <v>42705</v>
      </c>
      <c r="F48" s="17">
        <v>600000</v>
      </c>
      <c r="G48" s="17">
        <v>13824.88</v>
      </c>
      <c r="H48" s="1"/>
      <c r="I48" s="1" t="s">
        <v>21</v>
      </c>
      <c r="J48" s="1" t="s">
        <v>22</v>
      </c>
      <c r="K48" s="1" t="s">
        <v>58</v>
      </c>
      <c r="L48" s="1" t="s">
        <v>56</v>
      </c>
      <c r="M48" s="1"/>
      <c r="N48" s="1" t="s">
        <v>59</v>
      </c>
      <c r="O48" s="31">
        <v>2</v>
      </c>
      <c r="P48" s="31">
        <v>1</v>
      </c>
      <c r="Q48" s="32">
        <v>2016</v>
      </c>
    </row>
    <row r="49" spans="1:17" x14ac:dyDescent="0.25">
      <c r="A49" s="1" t="s">
        <v>66</v>
      </c>
      <c r="B49" s="31">
        <v>31.6</v>
      </c>
      <c r="C49" s="1" t="s">
        <v>20</v>
      </c>
      <c r="D49" s="2">
        <v>42795</v>
      </c>
      <c r="E49" s="2">
        <v>42795</v>
      </c>
      <c r="F49" s="17">
        <v>453100</v>
      </c>
      <c r="G49" s="17">
        <v>14338.61</v>
      </c>
      <c r="H49" s="1"/>
      <c r="I49" s="1" t="s">
        <v>21</v>
      </c>
      <c r="J49" s="1" t="s">
        <v>22</v>
      </c>
      <c r="K49" s="1" t="s">
        <v>58</v>
      </c>
      <c r="L49" s="1" t="s">
        <v>56</v>
      </c>
      <c r="M49" s="1"/>
      <c r="N49" s="1" t="s">
        <v>61</v>
      </c>
      <c r="O49" s="31">
        <v>3</v>
      </c>
      <c r="P49" s="31">
        <v>1</v>
      </c>
      <c r="Q49" s="32">
        <v>2008</v>
      </c>
    </row>
    <row r="50" spans="1:17" x14ac:dyDescent="0.25">
      <c r="A50" s="1" t="s">
        <v>57</v>
      </c>
      <c r="B50" s="31">
        <v>41.7</v>
      </c>
      <c r="C50" s="1" t="s">
        <v>20</v>
      </c>
      <c r="D50" s="2">
        <v>42644</v>
      </c>
      <c r="E50" s="2">
        <v>42644</v>
      </c>
      <c r="F50" s="17">
        <v>800000</v>
      </c>
      <c r="G50" s="17">
        <v>19184.650000000001</v>
      </c>
      <c r="H50" s="1"/>
      <c r="I50" s="1" t="s">
        <v>21</v>
      </c>
      <c r="J50" s="1" t="s">
        <v>22</v>
      </c>
      <c r="K50" s="1" t="s">
        <v>58</v>
      </c>
      <c r="L50" s="1" t="s">
        <v>56</v>
      </c>
      <c r="M50" s="1"/>
      <c r="N50" s="1" t="s">
        <v>62</v>
      </c>
      <c r="O50" s="31">
        <v>2</v>
      </c>
      <c r="P50" s="31">
        <v>1</v>
      </c>
      <c r="Q50" s="32">
        <v>2006</v>
      </c>
    </row>
    <row r="51" spans="1:17" x14ac:dyDescent="0.25">
      <c r="A51" s="1" t="s">
        <v>60</v>
      </c>
      <c r="B51" s="31">
        <v>48.8</v>
      </c>
      <c r="C51" s="1" t="s">
        <v>20</v>
      </c>
      <c r="D51" s="2">
        <v>42705</v>
      </c>
      <c r="E51" s="2">
        <v>42705</v>
      </c>
      <c r="F51" s="17">
        <v>960000</v>
      </c>
      <c r="G51" s="17">
        <v>19672.13</v>
      </c>
      <c r="H51" s="1"/>
      <c r="I51" s="1" t="s">
        <v>21</v>
      </c>
      <c r="J51" s="1" t="s">
        <v>22</v>
      </c>
      <c r="K51" s="1" t="s">
        <v>58</v>
      </c>
      <c r="L51" s="1" t="s">
        <v>56</v>
      </c>
      <c r="M51" s="1"/>
      <c r="N51" s="1" t="s">
        <v>61</v>
      </c>
      <c r="O51" s="31">
        <v>5</v>
      </c>
      <c r="P51" s="31">
        <v>1</v>
      </c>
      <c r="Q51" s="32">
        <v>2002</v>
      </c>
    </row>
    <row r="52" spans="1:17" x14ac:dyDescent="0.25">
      <c r="A52" s="1" t="s">
        <v>65</v>
      </c>
      <c r="B52" s="31">
        <v>47.2</v>
      </c>
      <c r="C52" s="1" t="s">
        <v>20</v>
      </c>
      <c r="D52" s="2">
        <v>42705</v>
      </c>
      <c r="E52" s="2">
        <v>42705</v>
      </c>
      <c r="F52" s="17">
        <v>940000</v>
      </c>
      <c r="G52" s="17">
        <v>19915.25</v>
      </c>
      <c r="H52" s="1"/>
      <c r="I52" s="1" t="s">
        <v>21</v>
      </c>
      <c r="J52" s="1" t="s">
        <v>22</v>
      </c>
      <c r="K52" s="1" t="s">
        <v>58</v>
      </c>
      <c r="L52" s="1" t="s">
        <v>56</v>
      </c>
      <c r="M52" s="1"/>
      <c r="N52" s="1" t="s">
        <v>41</v>
      </c>
      <c r="O52" s="31">
        <v>1</v>
      </c>
      <c r="P52" s="31">
        <v>1</v>
      </c>
      <c r="Q52" s="32">
        <v>2007</v>
      </c>
    </row>
    <row r="53" spans="1:17" x14ac:dyDescent="0.25">
      <c r="A53" s="1" t="s">
        <v>57</v>
      </c>
      <c r="B53" s="31">
        <v>20.3</v>
      </c>
      <c r="C53" s="1" t="s">
        <v>20</v>
      </c>
      <c r="D53" s="2">
        <v>42675</v>
      </c>
      <c r="E53" s="2">
        <v>42675</v>
      </c>
      <c r="F53" s="17">
        <v>443000</v>
      </c>
      <c r="G53" s="17">
        <v>21822.66</v>
      </c>
      <c r="H53" s="1"/>
      <c r="I53" s="1" t="s">
        <v>21</v>
      </c>
      <c r="J53" s="1" t="s">
        <v>18</v>
      </c>
      <c r="K53" s="1" t="s">
        <v>58</v>
      </c>
      <c r="L53" s="1" t="s">
        <v>56</v>
      </c>
      <c r="M53" s="1"/>
      <c r="N53" s="1" t="s">
        <v>63</v>
      </c>
      <c r="O53" s="31">
        <v>1</v>
      </c>
      <c r="P53" s="31">
        <v>1</v>
      </c>
      <c r="Q53" s="32">
        <v>2012</v>
      </c>
    </row>
    <row r="54" spans="1:17" x14ac:dyDescent="0.25">
      <c r="A54" s="1" t="s">
        <v>60</v>
      </c>
      <c r="B54" s="31">
        <v>35.299999999999997</v>
      </c>
      <c r="C54" s="1" t="s">
        <v>20</v>
      </c>
      <c r="D54" s="2">
        <v>42736</v>
      </c>
      <c r="E54" s="2">
        <v>42736</v>
      </c>
      <c r="F54" s="17">
        <v>775200</v>
      </c>
      <c r="G54" s="17">
        <v>21960.34</v>
      </c>
      <c r="H54" s="1"/>
      <c r="I54" s="1" t="s">
        <v>21</v>
      </c>
      <c r="J54" s="1" t="s">
        <v>22</v>
      </c>
      <c r="K54" s="1" t="s">
        <v>58</v>
      </c>
      <c r="L54" s="1" t="s">
        <v>56</v>
      </c>
      <c r="M54" s="1"/>
      <c r="N54" s="1"/>
      <c r="O54" s="31">
        <v>1</v>
      </c>
      <c r="P54" s="31">
        <v>1</v>
      </c>
      <c r="Q54" s="32">
        <v>2013</v>
      </c>
    </row>
    <row r="55" spans="1:17" x14ac:dyDescent="0.25">
      <c r="A55" s="1" t="s">
        <v>57</v>
      </c>
      <c r="B55" s="31">
        <v>41.7</v>
      </c>
      <c r="C55" s="1" t="s">
        <v>20</v>
      </c>
      <c r="D55" s="2">
        <v>42675</v>
      </c>
      <c r="E55" s="2">
        <v>42675</v>
      </c>
      <c r="F55" s="17">
        <v>919200</v>
      </c>
      <c r="G55" s="17">
        <v>22043.17</v>
      </c>
      <c r="H55" s="1"/>
      <c r="I55" s="1" t="s">
        <v>21</v>
      </c>
      <c r="J55" s="1" t="s">
        <v>22</v>
      </c>
      <c r="K55" s="1" t="s">
        <v>58</v>
      </c>
      <c r="L55" s="1" t="s">
        <v>56</v>
      </c>
      <c r="M55" s="1"/>
      <c r="N55" s="1"/>
      <c r="O55" s="31">
        <v>1</v>
      </c>
      <c r="P55" s="31">
        <v>1</v>
      </c>
      <c r="Q55" s="32">
        <v>2001</v>
      </c>
    </row>
    <row r="56" spans="1:17" x14ac:dyDescent="0.25">
      <c r="A56" s="1" t="s">
        <v>57</v>
      </c>
      <c r="B56" s="31">
        <v>15</v>
      </c>
      <c r="C56" s="1" t="s">
        <v>20</v>
      </c>
      <c r="D56" s="2">
        <v>42675</v>
      </c>
      <c r="E56" s="2">
        <v>42675</v>
      </c>
      <c r="F56" s="17">
        <v>400000</v>
      </c>
      <c r="G56" s="17">
        <v>26666.67</v>
      </c>
      <c r="H56" s="1"/>
      <c r="I56" s="1" t="s">
        <v>21</v>
      </c>
      <c r="J56" s="1" t="s">
        <v>22</v>
      </c>
      <c r="K56" s="1" t="s">
        <v>58</v>
      </c>
      <c r="L56" s="1" t="s">
        <v>56</v>
      </c>
      <c r="M56" s="1"/>
      <c r="N56" s="1" t="s">
        <v>62</v>
      </c>
      <c r="O56" s="31">
        <v>2</v>
      </c>
      <c r="P56" s="31">
        <v>1</v>
      </c>
      <c r="Q56" s="32">
        <v>2010</v>
      </c>
    </row>
    <row r="57" spans="1:17" s="9" customFormat="1" ht="15.75" thickBot="1" x14ac:dyDescent="0.3">
      <c r="A57" s="25"/>
      <c r="B57" s="33"/>
      <c r="C57" s="25"/>
      <c r="D57" s="25"/>
      <c r="E57" s="25"/>
      <c r="F57" s="26"/>
      <c r="G57" s="26">
        <f>SUM(G44:G56)/13</f>
        <v>17735.789230769231</v>
      </c>
      <c r="H57" s="25"/>
      <c r="I57" s="25"/>
      <c r="J57" s="25"/>
      <c r="K57" s="25"/>
      <c r="L57" s="25"/>
      <c r="M57" s="25"/>
      <c r="N57" s="25"/>
      <c r="O57" s="33"/>
      <c r="P57" s="33"/>
      <c r="Q57" s="34"/>
    </row>
    <row r="58" spans="1:17" s="6" customFormat="1" x14ac:dyDescent="0.25">
      <c r="A58" s="4" t="s">
        <v>67</v>
      </c>
      <c r="B58" s="35"/>
      <c r="C58" s="5"/>
      <c r="D58" s="5"/>
      <c r="E58" s="5"/>
      <c r="F58" s="19"/>
      <c r="G58" s="19"/>
      <c r="H58" s="5"/>
      <c r="I58" s="5"/>
      <c r="J58" s="5"/>
      <c r="K58" s="5"/>
      <c r="L58" s="5"/>
      <c r="M58" s="5"/>
      <c r="N58" s="5"/>
      <c r="O58" s="35"/>
      <c r="P58" s="35"/>
      <c r="Q58" s="36"/>
    </row>
    <row r="59" spans="1:17" x14ac:dyDescent="0.25">
      <c r="A59" s="1" t="s">
        <v>68</v>
      </c>
      <c r="B59" s="31">
        <v>43.7</v>
      </c>
      <c r="C59" s="1" t="s">
        <v>20</v>
      </c>
      <c r="D59" s="2">
        <v>42705</v>
      </c>
      <c r="E59" s="2">
        <v>42736</v>
      </c>
      <c r="F59" s="17">
        <v>816300</v>
      </c>
      <c r="G59" s="17">
        <v>18679.63</v>
      </c>
      <c r="H59" s="1"/>
      <c r="I59" s="1" t="s">
        <v>21</v>
      </c>
      <c r="J59" s="1" t="s">
        <v>22</v>
      </c>
      <c r="K59" s="1" t="s">
        <v>69</v>
      </c>
      <c r="L59" s="1"/>
      <c r="M59" s="1" t="s">
        <v>67</v>
      </c>
      <c r="N59" s="1" t="s">
        <v>71</v>
      </c>
      <c r="O59" s="31">
        <v>2</v>
      </c>
      <c r="P59" s="31">
        <v>1</v>
      </c>
      <c r="Q59" s="32">
        <v>2016</v>
      </c>
    </row>
    <row r="60" spans="1:17" x14ac:dyDescent="0.25">
      <c r="A60" s="1" t="s">
        <v>68</v>
      </c>
      <c r="B60" s="31">
        <v>50.9</v>
      </c>
      <c r="C60" s="1" t="s">
        <v>20</v>
      </c>
      <c r="D60" s="2">
        <v>42614</v>
      </c>
      <c r="E60" s="2">
        <v>42644</v>
      </c>
      <c r="F60" s="17">
        <v>1050000</v>
      </c>
      <c r="G60" s="17">
        <v>20628.68</v>
      </c>
      <c r="H60" s="1"/>
      <c r="I60" s="1" t="s">
        <v>21</v>
      </c>
      <c r="J60" s="1" t="s">
        <v>18</v>
      </c>
      <c r="K60" s="1" t="s">
        <v>69</v>
      </c>
      <c r="L60" s="1"/>
      <c r="M60" s="1" t="s">
        <v>67</v>
      </c>
      <c r="N60" s="1" t="s">
        <v>70</v>
      </c>
      <c r="O60" s="31">
        <v>1</v>
      </c>
      <c r="P60" s="31">
        <v>1</v>
      </c>
      <c r="Q60" s="32">
        <v>2014</v>
      </c>
    </row>
    <row r="61" spans="1:17" x14ac:dyDescent="0.25">
      <c r="A61" s="1" t="s">
        <v>74</v>
      </c>
      <c r="B61" s="31">
        <v>34.799999999999997</v>
      </c>
      <c r="C61" s="1" t="s">
        <v>20</v>
      </c>
      <c r="D61" s="2">
        <v>42705</v>
      </c>
      <c r="E61" s="2">
        <v>42705</v>
      </c>
      <c r="F61" s="17">
        <v>750000</v>
      </c>
      <c r="G61" s="17">
        <v>21551.72</v>
      </c>
      <c r="H61" s="1"/>
      <c r="I61" s="1" t="s">
        <v>21</v>
      </c>
      <c r="J61" s="1" t="s">
        <v>22</v>
      </c>
      <c r="K61" s="1" t="s">
        <v>69</v>
      </c>
      <c r="L61" s="1"/>
      <c r="M61" s="1" t="s">
        <v>67</v>
      </c>
      <c r="N61" s="1" t="s">
        <v>75</v>
      </c>
      <c r="O61" s="31">
        <v>1</v>
      </c>
      <c r="P61" s="31">
        <v>1</v>
      </c>
      <c r="Q61" s="32">
        <v>2002</v>
      </c>
    </row>
    <row r="62" spans="1:17" x14ac:dyDescent="0.25">
      <c r="A62" s="1" t="s">
        <v>72</v>
      </c>
      <c r="B62" s="31">
        <v>33.1</v>
      </c>
      <c r="C62" s="1" t="s">
        <v>20</v>
      </c>
      <c r="D62" s="2">
        <v>42705</v>
      </c>
      <c r="E62" s="2">
        <v>42705</v>
      </c>
      <c r="F62" s="17">
        <v>759900</v>
      </c>
      <c r="G62" s="17">
        <v>22957.7</v>
      </c>
      <c r="H62" s="1"/>
      <c r="I62" s="1" t="s">
        <v>21</v>
      </c>
      <c r="J62" s="1" t="s">
        <v>22</v>
      </c>
      <c r="K62" s="1" t="s">
        <v>69</v>
      </c>
      <c r="L62" s="1"/>
      <c r="M62" s="1" t="s">
        <v>67</v>
      </c>
      <c r="N62" s="1" t="s">
        <v>73</v>
      </c>
      <c r="O62" s="31">
        <v>1</v>
      </c>
      <c r="P62" s="31">
        <v>1</v>
      </c>
      <c r="Q62" s="32">
        <v>2016</v>
      </c>
    </row>
    <row r="63" spans="1:17" x14ac:dyDescent="0.25">
      <c r="A63" s="1" t="s">
        <v>72</v>
      </c>
      <c r="B63" s="31">
        <v>33.4</v>
      </c>
      <c r="C63" s="1" t="s">
        <v>20</v>
      </c>
      <c r="D63" s="2">
        <v>42675</v>
      </c>
      <c r="E63" s="2">
        <v>42675</v>
      </c>
      <c r="F63" s="17">
        <v>768600</v>
      </c>
      <c r="G63" s="17">
        <v>23011.98</v>
      </c>
      <c r="H63" s="1"/>
      <c r="I63" s="1" t="s">
        <v>21</v>
      </c>
      <c r="J63" s="1" t="s">
        <v>22</v>
      </c>
      <c r="K63" s="1" t="s">
        <v>69</v>
      </c>
      <c r="L63" s="1"/>
      <c r="M63" s="1" t="s">
        <v>67</v>
      </c>
      <c r="N63" s="1" t="s">
        <v>73</v>
      </c>
      <c r="O63" s="31">
        <v>1</v>
      </c>
      <c r="P63" s="31">
        <v>1</v>
      </c>
      <c r="Q63" s="32">
        <v>2016</v>
      </c>
    </row>
    <row r="64" spans="1:17" x14ac:dyDescent="0.25">
      <c r="A64" s="1" t="s">
        <v>72</v>
      </c>
      <c r="B64" s="31">
        <v>47.7</v>
      </c>
      <c r="C64" s="1" t="s">
        <v>20</v>
      </c>
      <c r="D64" s="2">
        <v>42644</v>
      </c>
      <c r="E64" s="2">
        <v>42675</v>
      </c>
      <c r="F64" s="17">
        <v>1136000</v>
      </c>
      <c r="G64" s="17">
        <v>23815.51</v>
      </c>
      <c r="H64" s="1"/>
      <c r="I64" s="1" t="s">
        <v>21</v>
      </c>
      <c r="J64" s="1" t="s">
        <v>22</v>
      </c>
      <c r="K64" s="1" t="s">
        <v>69</v>
      </c>
      <c r="L64" s="1"/>
      <c r="M64" s="1" t="s">
        <v>67</v>
      </c>
      <c r="N64" s="1" t="s">
        <v>73</v>
      </c>
      <c r="O64" s="31">
        <v>2</v>
      </c>
      <c r="P64" s="31">
        <v>1</v>
      </c>
      <c r="Q64" s="32">
        <v>2016</v>
      </c>
    </row>
    <row r="65" spans="1:17" x14ac:dyDescent="0.25">
      <c r="A65" s="1" t="s">
        <v>68</v>
      </c>
      <c r="B65" s="31">
        <v>31.4</v>
      </c>
      <c r="C65" s="1" t="s">
        <v>20</v>
      </c>
      <c r="D65" s="2">
        <v>42583</v>
      </c>
      <c r="E65" s="2">
        <v>42644</v>
      </c>
      <c r="F65" s="17">
        <v>770700</v>
      </c>
      <c r="G65" s="17">
        <v>24544.59</v>
      </c>
      <c r="H65" s="1"/>
      <c r="I65" s="1" t="s">
        <v>21</v>
      </c>
      <c r="J65" s="1" t="s">
        <v>22</v>
      </c>
      <c r="K65" s="1" t="s">
        <v>69</v>
      </c>
      <c r="L65" s="1"/>
      <c r="M65" s="1" t="s">
        <v>67</v>
      </c>
      <c r="N65" s="1" t="s">
        <v>71</v>
      </c>
      <c r="O65" s="31">
        <v>1</v>
      </c>
      <c r="P65" s="31">
        <v>1</v>
      </c>
      <c r="Q65" s="32">
        <v>2015</v>
      </c>
    </row>
    <row r="66" spans="1:17" s="9" customFormat="1" ht="15.75" thickBot="1" x14ac:dyDescent="0.3">
      <c r="A66" s="25"/>
      <c r="B66" s="33"/>
      <c r="C66" s="25"/>
      <c r="D66" s="25"/>
      <c r="E66" s="25"/>
      <c r="F66" s="26"/>
      <c r="G66" s="26">
        <f>SUM(G59:G65)/7</f>
        <v>22169.972857142857</v>
      </c>
      <c r="H66" s="25"/>
      <c r="I66" s="25"/>
      <c r="J66" s="25"/>
      <c r="K66" s="25"/>
      <c r="L66" s="25"/>
      <c r="M66" s="25"/>
      <c r="N66" s="25"/>
      <c r="O66" s="33"/>
      <c r="P66" s="33"/>
      <c r="Q66" s="34"/>
    </row>
    <row r="67" spans="1:17" s="6" customFormat="1" x14ac:dyDescent="0.25">
      <c r="A67" s="4" t="s">
        <v>76</v>
      </c>
      <c r="B67" s="35"/>
      <c r="C67" s="5"/>
      <c r="D67" s="5"/>
      <c r="E67" s="5"/>
      <c r="F67" s="19"/>
      <c r="G67" s="19"/>
      <c r="H67" s="5"/>
      <c r="I67" s="5"/>
      <c r="J67" s="5"/>
      <c r="K67" s="5"/>
      <c r="L67" s="5"/>
      <c r="M67" s="5"/>
      <c r="N67" s="5"/>
      <c r="O67" s="35"/>
      <c r="P67" s="35"/>
      <c r="Q67" s="36"/>
    </row>
    <row r="68" spans="1:17" x14ac:dyDescent="0.25">
      <c r="A68" s="1" t="s">
        <v>100</v>
      </c>
      <c r="B68" s="31">
        <v>41.5</v>
      </c>
      <c r="C68" s="1" t="s">
        <v>20</v>
      </c>
      <c r="D68" s="2">
        <v>42675</v>
      </c>
      <c r="E68" s="2">
        <v>42705</v>
      </c>
      <c r="F68" s="17">
        <v>428026</v>
      </c>
      <c r="G68" s="17">
        <v>10313.879999999999</v>
      </c>
      <c r="H68" s="1"/>
      <c r="I68" s="1" t="s">
        <v>21</v>
      </c>
      <c r="J68" s="1" t="s">
        <v>22</v>
      </c>
      <c r="K68" s="1" t="s">
        <v>78</v>
      </c>
      <c r="L68" s="1" t="s">
        <v>76</v>
      </c>
      <c r="M68" s="1"/>
      <c r="N68" s="1" t="s">
        <v>79</v>
      </c>
      <c r="O68" s="31">
        <v>4</v>
      </c>
      <c r="P68" s="31">
        <v>1</v>
      </c>
      <c r="Q68" s="32">
        <v>2016</v>
      </c>
    </row>
    <row r="69" spans="1:17" x14ac:dyDescent="0.25">
      <c r="A69" s="1" t="s">
        <v>83</v>
      </c>
      <c r="B69" s="31">
        <v>40.799999999999997</v>
      </c>
      <c r="C69" s="1" t="s">
        <v>20</v>
      </c>
      <c r="D69" s="2">
        <v>42644</v>
      </c>
      <c r="E69" s="2">
        <v>42644</v>
      </c>
      <c r="F69" s="17">
        <v>428026</v>
      </c>
      <c r="G69" s="17">
        <v>10490.83</v>
      </c>
      <c r="H69" s="1"/>
      <c r="I69" s="1" t="s">
        <v>21</v>
      </c>
      <c r="J69" s="1" t="s">
        <v>32</v>
      </c>
      <c r="K69" s="1" t="s">
        <v>78</v>
      </c>
      <c r="L69" s="1" t="s">
        <v>76</v>
      </c>
      <c r="M69" s="1"/>
      <c r="N69" s="1"/>
      <c r="O69" s="31">
        <v>2</v>
      </c>
      <c r="P69" s="31">
        <v>1</v>
      </c>
      <c r="Q69" s="32">
        <v>2010</v>
      </c>
    </row>
    <row r="70" spans="1:17" x14ac:dyDescent="0.25">
      <c r="A70" s="1" t="s">
        <v>83</v>
      </c>
      <c r="B70" s="31">
        <v>42.7</v>
      </c>
      <c r="C70" s="1" t="s">
        <v>20</v>
      </c>
      <c r="D70" s="2">
        <v>42767</v>
      </c>
      <c r="E70" s="2">
        <v>42767</v>
      </c>
      <c r="F70" s="17">
        <v>453026</v>
      </c>
      <c r="G70" s="17">
        <v>10609.51</v>
      </c>
      <c r="H70" s="1"/>
      <c r="I70" s="1" t="s">
        <v>21</v>
      </c>
      <c r="J70" s="1" t="s">
        <v>32</v>
      </c>
      <c r="K70" s="1" t="s">
        <v>78</v>
      </c>
      <c r="L70" s="1" t="s">
        <v>76</v>
      </c>
      <c r="M70" s="1"/>
      <c r="N70" s="1"/>
      <c r="O70" s="31">
        <v>1</v>
      </c>
      <c r="P70" s="31">
        <v>1</v>
      </c>
      <c r="Q70" s="32">
        <v>2000</v>
      </c>
    </row>
    <row r="71" spans="1:17" x14ac:dyDescent="0.25">
      <c r="A71" s="1" t="s">
        <v>99</v>
      </c>
      <c r="B71" s="31">
        <v>38.9</v>
      </c>
      <c r="C71" s="1" t="s">
        <v>20</v>
      </c>
      <c r="D71" s="2">
        <v>42795</v>
      </c>
      <c r="E71" s="2">
        <v>42795</v>
      </c>
      <c r="F71" s="17">
        <v>419779.15</v>
      </c>
      <c r="G71" s="17">
        <v>10791.24</v>
      </c>
      <c r="H71" s="1"/>
      <c r="I71" s="1" t="s">
        <v>21</v>
      </c>
      <c r="J71" s="1" t="s">
        <v>32</v>
      </c>
      <c r="K71" s="1" t="s">
        <v>78</v>
      </c>
      <c r="L71" s="1" t="s">
        <v>76</v>
      </c>
      <c r="M71" s="1"/>
      <c r="N71" s="1" t="s">
        <v>92</v>
      </c>
      <c r="O71" s="31">
        <v>5</v>
      </c>
      <c r="P71" s="31">
        <v>1</v>
      </c>
      <c r="Q71" s="32">
        <v>2005</v>
      </c>
    </row>
    <row r="72" spans="1:17" x14ac:dyDescent="0.25">
      <c r="A72" s="1" t="s">
        <v>103</v>
      </c>
      <c r="B72" s="31">
        <v>36.5</v>
      </c>
      <c r="C72" s="1" t="s">
        <v>20</v>
      </c>
      <c r="D72" s="2">
        <v>42767</v>
      </c>
      <c r="E72" s="2">
        <v>42795</v>
      </c>
      <c r="F72" s="17">
        <v>400000</v>
      </c>
      <c r="G72" s="17">
        <v>10958.9</v>
      </c>
      <c r="H72" s="1"/>
      <c r="I72" s="1" t="s">
        <v>21</v>
      </c>
      <c r="J72" s="1" t="s">
        <v>22</v>
      </c>
      <c r="K72" s="1" t="s">
        <v>78</v>
      </c>
      <c r="L72" s="1" t="s">
        <v>76</v>
      </c>
      <c r="M72" s="1"/>
      <c r="N72" s="1" t="s">
        <v>94</v>
      </c>
      <c r="O72" s="31">
        <v>3</v>
      </c>
      <c r="P72" s="31">
        <v>1</v>
      </c>
      <c r="Q72" s="32">
        <v>2017</v>
      </c>
    </row>
    <row r="73" spans="1:17" x14ac:dyDescent="0.25">
      <c r="A73" s="1" t="s">
        <v>106</v>
      </c>
      <c r="B73" s="31">
        <v>36.5</v>
      </c>
      <c r="C73" s="1" t="s">
        <v>20</v>
      </c>
      <c r="D73" s="2">
        <v>42705</v>
      </c>
      <c r="E73" s="2">
        <v>42705</v>
      </c>
      <c r="F73" s="17">
        <v>421000</v>
      </c>
      <c r="G73" s="17">
        <v>11534.25</v>
      </c>
      <c r="H73" s="1"/>
      <c r="I73" s="1" t="s">
        <v>21</v>
      </c>
      <c r="J73" s="1" t="s">
        <v>22</v>
      </c>
      <c r="K73" s="1" t="s">
        <v>78</v>
      </c>
      <c r="L73" s="1" t="s">
        <v>76</v>
      </c>
      <c r="M73" s="1"/>
      <c r="N73" s="1" t="s">
        <v>96</v>
      </c>
      <c r="O73" s="31">
        <v>2</v>
      </c>
      <c r="P73" s="31">
        <v>2</v>
      </c>
      <c r="Q73" s="32">
        <v>2015</v>
      </c>
    </row>
    <row r="74" spans="1:17" x14ac:dyDescent="0.25">
      <c r="A74" s="1" t="s">
        <v>106</v>
      </c>
      <c r="B74" s="31">
        <v>36.5</v>
      </c>
      <c r="C74" s="1" t="s">
        <v>20</v>
      </c>
      <c r="D74" s="2">
        <v>42705</v>
      </c>
      <c r="E74" s="2">
        <v>42705</v>
      </c>
      <c r="F74" s="17">
        <v>421000</v>
      </c>
      <c r="G74" s="17">
        <v>11534.25</v>
      </c>
      <c r="H74" s="1"/>
      <c r="I74" s="1" t="s">
        <v>21</v>
      </c>
      <c r="J74" s="1" t="s">
        <v>22</v>
      </c>
      <c r="K74" s="1" t="s">
        <v>78</v>
      </c>
      <c r="L74" s="1" t="s">
        <v>76</v>
      </c>
      <c r="M74" s="1"/>
      <c r="N74" s="1" t="s">
        <v>96</v>
      </c>
      <c r="O74" s="31">
        <v>2</v>
      </c>
      <c r="P74" s="31">
        <v>2</v>
      </c>
      <c r="Q74" s="32">
        <v>2015</v>
      </c>
    </row>
    <row r="75" spans="1:17" x14ac:dyDescent="0.25">
      <c r="A75" s="1" t="s">
        <v>106</v>
      </c>
      <c r="B75" s="31">
        <v>36.5</v>
      </c>
      <c r="C75" s="1" t="s">
        <v>20</v>
      </c>
      <c r="D75" s="2">
        <v>42705</v>
      </c>
      <c r="E75" s="2">
        <v>42705</v>
      </c>
      <c r="F75" s="17">
        <v>433026</v>
      </c>
      <c r="G75" s="17">
        <v>11863.73</v>
      </c>
      <c r="H75" s="1"/>
      <c r="I75" s="1" t="s">
        <v>21</v>
      </c>
      <c r="J75" s="1" t="s">
        <v>22</v>
      </c>
      <c r="K75" s="1" t="s">
        <v>78</v>
      </c>
      <c r="L75" s="1" t="s">
        <v>76</v>
      </c>
      <c r="M75" s="1"/>
      <c r="N75" s="1" t="s">
        <v>96</v>
      </c>
      <c r="O75" s="31">
        <v>2</v>
      </c>
      <c r="P75" s="31">
        <v>2</v>
      </c>
      <c r="Q75" s="32">
        <v>2015</v>
      </c>
    </row>
    <row r="76" spans="1:17" x14ac:dyDescent="0.25">
      <c r="A76" s="1" t="s">
        <v>106</v>
      </c>
      <c r="B76" s="31">
        <v>36.5</v>
      </c>
      <c r="C76" s="1" t="s">
        <v>20</v>
      </c>
      <c r="D76" s="2">
        <v>42705</v>
      </c>
      <c r="E76" s="2">
        <v>42705</v>
      </c>
      <c r="F76" s="17">
        <v>433026</v>
      </c>
      <c r="G76" s="17">
        <v>11863.73</v>
      </c>
      <c r="H76" s="1"/>
      <c r="I76" s="1" t="s">
        <v>21</v>
      </c>
      <c r="J76" s="1" t="s">
        <v>22</v>
      </c>
      <c r="K76" s="1" t="s">
        <v>78</v>
      </c>
      <c r="L76" s="1" t="s">
        <v>76</v>
      </c>
      <c r="M76" s="1"/>
      <c r="N76" s="1" t="s">
        <v>96</v>
      </c>
      <c r="O76" s="31">
        <v>2</v>
      </c>
      <c r="P76" s="31">
        <v>2</v>
      </c>
      <c r="Q76" s="32">
        <v>2015</v>
      </c>
    </row>
    <row r="77" spans="1:17" x14ac:dyDescent="0.25">
      <c r="A77" s="1" t="s">
        <v>91</v>
      </c>
      <c r="B77" s="31">
        <v>45.7</v>
      </c>
      <c r="C77" s="1" t="s">
        <v>20</v>
      </c>
      <c r="D77" s="2">
        <v>42675</v>
      </c>
      <c r="E77" s="2">
        <v>42675</v>
      </c>
      <c r="F77" s="17">
        <v>550000</v>
      </c>
      <c r="G77" s="17">
        <v>12035.01</v>
      </c>
      <c r="H77" s="1"/>
      <c r="I77" s="1" t="s">
        <v>21</v>
      </c>
      <c r="J77" s="1" t="s">
        <v>22</v>
      </c>
      <c r="K77" s="1" t="s">
        <v>78</v>
      </c>
      <c r="L77" s="1" t="s">
        <v>76</v>
      </c>
      <c r="M77" s="1"/>
      <c r="N77" s="1" t="s">
        <v>92</v>
      </c>
      <c r="O77" s="31">
        <v>2</v>
      </c>
      <c r="P77" s="31">
        <v>1</v>
      </c>
      <c r="Q77" s="32">
        <v>2016</v>
      </c>
    </row>
    <row r="78" spans="1:17" x14ac:dyDescent="0.25">
      <c r="A78" s="1" t="s">
        <v>86</v>
      </c>
      <c r="B78" s="31">
        <v>42.5</v>
      </c>
      <c r="C78" s="1" t="s">
        <v>20</v>
      </c>
      <c r="D78" s="2">
        <v>42644</v>
      </c>
      <c r="E78" s="2">
        <v>42675</v>
      </c>
      <c r="F78" s="17">
        <v>530000</v>
      </c>
      <c r="G78" s="17">
        <v>12470.59</v>
      </c>
      <c r="H78" s="1"/>
      <c r="I78" s="1" t="s">
        <v>21</v>
      </c>
      <c r="J78" s="1" t="s">
        <v>22</v>
      </c>
      <c r="K78" s="1" t="s">
        <v>78</v>
      </c>
      <c r="L78" s="1" t="s">
        <v>76</v>
      </c>
      <c r="M78" s="1"/>
      <c r="N78" s="1"/>
      <c r="O78" s="31">
        <v>2</v>
      </c>
      <c r="P78" s="31">
        <v>1</v>
      </c>
      <c r="Q78" s="32">
        <v>2016</v>
      </c>
    </row>
    <row r="79" spans="1:17" x14ac:dyDescent="0.25">
      <c r="A79" s="1" t="s">
        <v>93</v>
      </c>
      <c r="B79" s="31">
        <v>32.799999999999997</v>
      </c>
      <c r="C79" s="1" t="s">
        <v>20</v>
      </c>
      <c r="D79" s="2">
        <v>42705</v>
      </c>
      <c r="E79" s="2">
        <v>42705</v>
      </c>
      <c r="F79" s="17">
        <v>453026</v>
      </c>
      <c r="G79" s="17">
        <v>13811.77</v>
      </c>
      <c r="H79" s="1"/>
      <c r="I79" s="1" t="s">
        <v>21</v>
      </c>
      <c r="J79" s="1" t="s">
        <v>32</v>
      </c>
      <c r="K79" s="1" t="s">
        <v>78</v>
      </c>
      <c r="L79" s="1" t="s">
        <v>76</v>
      </c>
      <c r="M79" s="1"/>
      <c r="N79" s="1"/>
      <c r="O79" s="31">
        <v>2</v>
      </c>
      <c r="P79" s="31">
        <v>1</v>
      </c>
      <c r="Q79" s="32">
        <v>2004</v>
      </c>
    </row>
    <row r="80" spans="1:17" x14ac:dyDescent="0.25">
      <c r="A80" s="1" t="s">
        <v>87</v>
      </c>
      <c r="B80" s="31">
        <v>56</v>
      </c>
      <c r="C80" s="1" t="s">
        <v>20</v>
      </c>
      <c r="D80" s="2">
        <v>42705</v>
      </c>
      <c r="E80" s="2">
        <v>42705</v>
      </c>
      <c r="F80" s="17">
        <v>780000</v>
      </c>
      <c r="G80" s="17">
        <v>13928.57</v>
      </c>
      <c r="H80" s="1"/>
      <c r="I80" s="1" t="s">
        <v>21</v>
      </c>
      <c r="J80" s="1" t="s">
        <v>32</v>
      </c>
      <c r="K80" s="1" t="s">
        <v>78</v>
      </c>
      <c r="L80" s="1" t="s">
        <v>76</v>
      </c>
      <c r="M80" s="1"/>
      <c r="N80" s="1" t="s">
        <v>94</v>
      </c>
      <c r="O80" s="31">
        <v>4</v>
      </c>
      <c r="P80" s="31">
        <v>1</v>
      </c>
      <c r="Q80" s="32">
        <v>2013</v>
      </c>
    </row>
    <row r="81" spans="1:17" x14ac:dyDescent="0.25">
      <c r="A81" s="1" t="s">
        <v>87</v>
      </c>
      <c r="B81" s="31">
        <v>35.799999999999997</v>
      </c>
      <c r="C81" s="1" t="s">
        <v>20</v>
      </c>
      <c r="D81" s="2">
        <v>42675</v>
      </c>
      <c r="E81" s="2">
        <v>42675</v>
      </c>
      <c r="F81" s="17">
        <v>500000</v>
      </c>
      <c r="G81" s="17">
        <v>13966.48</v>
      </c>
      <c r="H81" s="1"/>
      <c r="I81" s="1" t="s">
        <v>21</v>
      </c>
      <c r="J81" s="1" t="s">
        <v>32</v>
      </c>
      <c r="K81" s="1" t="s">
        <v>78</v>
      </c>
      <c r="L81" s="1" t="s">
        <v>76</v>
      </c>
      <c r="M81" s="1"/>
      <c r="N81" s="1"/>
      <c r="O81" s="31">
        <v>4</v>
      </c>
      <c r="P81" s="31">
        <v>1</v>
      </c>
      <c r="Q81" s="32">
        <v>2008</v>
      </c>
    </row>
    <row r="82" spans="1:17" x14ac:dyDescent="0.25">
      <c r="A82" s="1" t="s">
        <v>104</v>
      </c>
      <c r="B82" s="31">
        <v>43.6</v>
      </c>
      <c r="C82" s="1" t="s">
        <v>20</v>
      </c>
      <c r="D82" s="2">
        <v>42675</v>
      </c>
      <c r="E82" s="2">
        <v>42675</v>
      </c>
      <c r="F82" s="17">
        <v>640000</v>
      </c>
      <c r="G82" s="17">
        <v>14678.9</v>
      </c>
      <c r="H82" s="1"/>
      <c r="I82" s="1" t="s">
        <v>21</v>
      </c>
      <c r="J82" s="1" t="s">
        <v>32</v>
      </c>
      <c r="K82" s="1" t="s">
        <v>78</v>
      </c>
      <c r="L82" s="1" t="s">
        <v>76</v>
      </c>
      <c r="M82" s="1"/>
      <c r="N82" s="1" t="s">
        <v>105</v>
      </c>
      <c r="O82" s="31">
        <v>1</v>
      </c>
      <c r="P82" s="31">
        <v>1</v>
      </c>
      <c r="Q82" s="32">
        <v>2013</v>
      </c>
    </row>
    <row r="83" spans="1:17" x14ac:dyDescent="0.25">
      <c r="A83" s="1" t="s">
        <v>100</v>
      </c>
      <c r="B83" s="31">
        <v>42.1</v>
      </c>
      <c r="C83" s="1" t="s">
        <v>20</v>
      </c>
      <c r="D83" s="2">
        <v>42675</v>
      </c>
      <c r="E83" s="2">
        <v>42705</v>
      </c>
      <c r="F83" s="17">
        <v>650000</v>
      </c>
      <c r="G83" s="17">
        <v>15439.43</v>
      </c>
      <c r="H83" s="1"/>
      <c r="I83" s="1" t="s">
        <v>21</v>
      </c>
      <c r="J83" s="1" t="s">
        <v>32</v>
      </c>
      <c r="K83" s="1" t="s">
        <v>78</v>
      </c>
      <c r="L83" s="1" t="s">
        <v>76</v>
      </c>
      <c r="M83" s="1"/>
      <c r="N83" s="1" t="s">
        <v>101</v>
      </c>
      <c r="O83" s="31">
        <v>2</v>
      </c>
      <c r="P83" s="31">
        <v>1</v>
      </c>
      <c r="Q83" s="32">
        <v>2007</v>
      </c>
    </row>
    <row r="84" spans="1:17" x14ac:dyDescent="0.25">
      <c r="A84" s="1" t="s">
        <v>95</v>
      </c>
      <c r="B84" s="31">
        <v>70.599999999999994</v>
      </c>
      <c r="C84" s="1" t="s">
        <v>20</v>
      </c>
      <c r="D84" s="2">
        <v>42705</v>
      </c>
      <c r="E84" s="2">
        <v>42705</v>
      </c>
      <c r="F84" s="17">
        <v>1146974</v>
      </c>
      <c r="G84" s="17">
        <v>16246.09</v>
      </c>
      <c r="H84" s="1"/>
      <c r="I84" s="1" t="s">
        <v>21</v>
      </c>
      <c r="J84" s="1" t="s">
        <v>32</v>
      </c>
      <c r="K84" s="1" t="s">
        <v>78</v>
      </c>
      <c r="L84" s="1" t="s">
        <v>76</v>
      </c>
      <c r="M84" s="1"/>
      <c r="N84" s="1" t="s">
        <v>94</v>
      </c>
      <c r="O84" s="31">
        <v>3</v>
      </c>
      <c r="P84" s="31">
        <v>1</v>
      </c>
      <c r="Q84" s="32">
        <v>2015</v>
      </c>
    </row>
    <row r="85" spans="1:17" x14ac:dyDescent="0.25">
      <c r="A85" s="1" t="s">
        <v>93</v>
      </c>
      <c r="B85" s="31">
        <v>48.8</v>
      </c>
      <c r="C85" s="1" t="s">
        <v>20</v>
      </c>
      <c r="D85" s="2">
        <v>42705</v>
      </c>
      <c r="E85" s="2">
        <v>42705</v>
      </c>
      <c r="F85" s="17">
        <v>800000</v>
      </c>
      <c r="G85" s="17">
        <v>16393.439999999999</v>
      </c>
      <c r="H85" s="1"/>
      <c r="I85" s="1" t="s">
        <v>21</v>
      </c>
      <c r="J85" s="1" t="s">
        <v>32</v>
      </c>
      <c r="K85" s="1" t="s">
        <v>78</v>
      </c>
      <c r="L85" s="1" t="s">
        <v>76</v>
      </c>
      <c r="M85" s="1"/>
      <c r="N85" s="1"/>
      <c r="O85" s="31">
        <v>4</v>
      </c>
      <c r="P85" s="31">
        <v>1</v>
      </c>
      <c r="Q85" s="32">
        <v>2007</v>
      </c>
    </row>
    <row r="86" spans="1:17" x14ac:dyDescent="0.25">
      <c r="A86" s="1" t="s">
        <v>95</v>
      </c>
      <c r="B86" s="31">
        <v>47.8</v>
      </c>
      <c r="C86" s="1" t="s">
        <v>20</v>
      </c>
      <c r="D86" s="2">
        <v>42675</v>
      </c>
      <c r="E86" s="2">
        <v>42675</v>
      </c>
      <c r="F86" s="17">
        <v>800000</v>
      </c>
      <c r="G86" s="17">
        <v>16736.400000000001</v>
      </c>
      <c r="H86" s="1"/>
      <c r="I86" s="1" t="s">
        <v>21</v>
      </c>
      <c r="J86" s="1" t="s">
        <v>32</v>
      </c>
      <c r="K86" s="1" t="s">
        <v>78</v>
      </c>
      <c r="L86" s="1" t="s">
        <v>76</v>
      </c>
      <c r="M86" s="1"/>
      <c r="N86" s="1" t="s">
        <v>96</v>
      </c>
      <c r="O86" s="31">
        <v>2</v>
      </c>
      <c r="P86" s="31">
        <v>2</v>
      </c>
      <c r="Q86" s="32">
        <v>2013</v>
      </c>
    </row>
    <row r="87" spans="1:17" x14ac:dyDescent="0.25">
      <c r="A87" s="1" t="s">
        <v>95</v>
      </c>
      <c r="B87" s="31">
        <v>47.8</v>
      </c>
      <c r="C87" s="1" t="s">
        <v>20</v>
      </c>
      <c r="D87" s="2">
        <v>42675</v>
      </c>
      <c r="E87" s="2">
        <v>42675</v>
      </c>
      <c r="F87" s="17">
        <v>800000</v>
      </c>
      <c r="G87" s="17">
        <v>16736.400000000001</v>
      </c>
      <c r="H87" s="1"/>
      <c r="I87" s="1" t="s">
        <v>21</v>
      </c>
      <c r="J87" s="1" t="s">
        <v>32</v>
      </c>
      <c r="K87" s="1" t="s">
        <v>78</v>
      </c>
      <c r="L87" s="1" t="s">
        <v>76</v>
      </c>
      <c r="M87" s="1"/>
      <c r="N87" s="1" t="s">
        <v>96</v>
      </c>
      <c r="O87" s="31">
        <v>2</v>
      </c>
      <c r="P87" s="31">
        <v>2</v>
      </c>
      <c r="Q87" s="32">
        <v>2013</v>
      </c>
    </row>
    <row r="88" spans="1:17" x14ac:dyDescent="0.25">
      <c r="A88" s="1" t="s">
        <v>80</v>
      </c>
      <c r="B88" s="31">
        <v>57.5</v>
      </c>
      <c r="C88" s="1" t="s">
        <v>20</v>
      </c>
      <c r="D88" s="2">
        <v>42644</v>
      </c>
      <c r="E88" s="2">
        <v>42644</v>
      </c>
      <c r="F88" s="17">
        <v>1000000</v>
      </c>
      <c r="G88" s="17">
        <v>17391.3</v>
      </c>
      <c r="H88" s="1"/>
      <c r="I88" s="1" t="s">
        <v>21</v>
      </c>
      <c r="J88" s="1" t="s">
        <v>32</v>
      </c>
      <c r="K88" s="1" t="s">
        <v>78</v>
      </c>
      <c r="L88" s="1" t="s">
        <v>76</v>
      </c>
      <c r="M88" s="1"/>
      <c r="N88" s="1" t="s">
        <v>81</v>
      </c>
      <c r="O88" s="31">
        <v>3</v>
      </c>
      <c r="P88" s="31">
        <v>1</v>
      </c>
      <c r="Q88" s="32">
        <v>2014</v>
      </c>
    </row>
    <row r="89" spans="1:17" x14ac:dyDescent="0.25">
      <c r="A89" s="1" t="s">
        <v>83</v>
      </c>
      <c r="B89" s="31">
        <v>33</v>
      </c>
      <c r="C89" s="1" t="s">
        <v>20</v>
      </c>
      <c r="D89" s="2">
        <v>42705</v>
      </c>
      <c r="E89" s="2">
        <v>42705</v>
      </c>
      <c r="F89" s="17">
        <v>580000</v>
      </c>
      <c r="G89" s="17">
        <v>17575.759999999998</v>
      </c>
      <c r="H89" s="1"/>
      <c r="I89" s="1" t="s">
        <v>21</v>
      </c>
      <c r="J89" s="1" t="s">
        <v>32</v>
      </c>
      <c r="K89" s="1" t="s">
        <v>78</v>
      </c>
      <c r="L89" s="1" t="s">
        <v>76</v>
      </c>
      <c r="M89" s="1"/>
      <c r="N89" s="1"/>
      <c r="O89" s="31">
        <v>5</v>
      </c>
      <c r="P89" s="31">
        <v>2</v>
      </c>
      <c r="Q89" s="32">
        <v>2008</v>
      </c>
    </row>
    <row r="90" spans="1:17" x14ac:dyDescent="0.25">
      <c r="A90" s="1" t="s">
        <v>83</v>
      </c>
      <c r="B90" s="31">
        <v>33</v>
      </c>
      <c r="C90" s="1" t="s">
        <v>20</v>
      </c>
      <c r="D90" s="2">
        <v>42705</v>
      </c>
      <c r="E90" s="2">
        <v>42705</v>
      </c>
      <c r="F90" s="17">
        <v>580000</v>
      </c>
      <c r="G90" s="17">
        <v>17575.759999999998</v>
      </c>
      <c r="H90" s="1"/>
      <c r="I90" s="1" t="s">
        <v>21</v>
      </c>
      <c r="J90" s="1" t="s">
        <v>32</v>
      </c>
      <c r="K90" s="1" t="s">
        <v>78</v>
      </c>
      <c r="L90" s="1" t="s">
        <v>76</v>
      </c>
      <c r="M90" s="1"/>
      <c r="N90" s="1"/>
      <c r="O90" s="31">
        <v>5</v>
      </c>
      <c r="P90" s="31">
        <v>2</v>
      </c>
      <c r="Q90" s="32">
        <v>2008</v>
      </c>
    </row>
    <row r="91" spans="1:17" x14ac:dyDescent="0.25">
      <c r="A91" s="1" t="s">
        <v>87</v>
      </c>
      <c r="B91" s="31">
        <v>67.2</v>
      </c>
      <c r="C91" s="1" t="s">
        <v>20</v>
      </c>
      <c r="D91" s="2">
        <v>42767</v>
      </c>
      <c r="E91" s="2">
        <v>42795</v>
      </c>
      <c r="F91" s="17">
        <v>1200000</v>
      </c>
      <c r="G91" s="17">
        <v>17857.14</v>
      </c>
      <c r="H91" s="1"/>
      <c r="I91" s="1" t="s">
        <v>21</v>
      </c>
      <c r="J91" s="1" t="s">
        <v>32</v>
      </c>
      <c r="K91" s="1" t="s">
        <v>78</v>
      </c>
      <c r="L91" s="1" t="s">
        <v>76</v>
      </c>
      <c r="M91" s="1"/>
      <c r="N91" s="1"/>
      <c r="O91" s="31">
        <v>5</v>
      </c>
      <c r="P91" s="31">
        <v>1</v>
      </c>
      <c r="Q91" s="32">
        <v>2001</v>
      </c>
    </row>
    <row r="92" spans="1:17" x14ac:dyDescent="0.25">
      <c r="A92" s="1" t="s">
        <v>84</v>
      </c>
      <c r="B92" s="31">
        <v>28.9</v>
      </c>
      <c r="C92" s="1" t="s">
        <v>20</v>
      </c>
      <c r="D92" s="2">
        <v>42736</v>
      </c>
      <c r="E92" s="2">
        <v>42736</v>
      </c>
      <c r="F92" s="17">
        <v>560000</v>
      </c>
      <c r="G92" s="17">
        <v>19377.16</v>
      </c>
      <c r="H92" s="1"/>
      <c r="I92" s="1" t="s">
        <v>21</v>
      </c>
      <c r="J92" s="1" t="s">
        <v>32</v>
      </c>
      <c r="K92" s="1" t="s">
        <v>78</v>
      </c>
      <c r="L92" s="1" t="s">
        <v>76</v>
      </c>
      <c r="M92" s="1"/>
      <c r="N92" s="1" t="s">
        <v>108</v>
      </c>
      <c r="O92" s="31">
        <v>1</v>
      </c>
      <c r="P92" s="31">
        <v>1</v>
      </c>
      <c r="Q92" s="32">
        <v>2012</v>
      </c>
    </row>
    <row r="93" spans="1:17" x14ac:dyDescent="0.25">
      <c r="A93" s="1" t="s">
        <v>97</v>
      </c>
      <c r="B93" s="31">
        <v>33.799999999999997</v>
      </c>
      <c r="C93" s="1" t="s">
        <v>20</v>
      </c>
      <c r="D93" s="2">
        <v>42675</v>
      </c>
      <c r="E93" s="2">
        <v>42675</v>
      </c>
      <c r="F93" s="17">
        <v>680000</v>
      </c>
      <c r="G93" s="17">
        <v>20118.34</v>
      </c>
      <c r="H93" s="1"/>
      <c r="I93" s="1" t="s">
        <v>21</v>
      </c>
      <c r="J93" s="1" t="s">
        <v>32</v>
      </c>
      <c r="K93" s="1" t="s">
        <v>78</v>
      </c>
      <c r="L93" s="1" t="s">
        <v>76</v>
      </c>
      <c r="M93" s="1"/>
      <c r="N93" s="1" t="s">
        <v>98</v>
      </c>
      <c r="O93" s="31">
        <v>4</v>
      </c>
      <c r="P93" s="31">
        <v>1</v>
      </c>
      <c r="Q93" s="32">
        <v>2008</v>
      </c>
    </row>
    <row r="94" spans="1:17" x14ac:dyDescent="0.25">
      <c r="A94" s="1" t="s">
        <v>84</v>
      </c>
      <c r="B94" s="31">
        <v>29.8</v>
      </c>
      <c r="C94" s="1" t="s">
        <v>20</v>
      </c>
      <c r="D94" s="2">
        <v>42644</v>
      </c>
      <c r="E94" s="2">
        <v>42644</v>
      </c>
      <c r="F94" s="17">
        <v>600000</v>
      </c>
      <c r="G94" s="17">
        <v>20134.23</v>
      </c>
      <c r="H94" s="1"/>
      <c r="I94" s="1" t="s">
        <v>21</v>
      </c>
      <c r="J94" s="1" t="s">
        <v>32</v>
      </c>
      <c r="K94" s="1" t="s">
        <v>78</v>
      </c>
      <c r="L94" s="1" t="s">
        <v>76</v>
      </c>
      <c r="M94" s="1"/>
      <c r="N94" s="1" t="s">
        <v>85</v>
      </c>
      <c r="O94" s="31">
        <v>2</v>
      </c>
      <c r="P94" s="31">
        <v>1</v>
      </c>
      <c r="Q94" s="32">
        <v>2007</v>
      </c>
    </row>
    <row r="95" spans="1:17" x14ac:dyDescent="0.25">
      <c r="A95" s="1" t="s">
        <v>87</v>
      </c>
      <c r="B95" s="31">
        <v>51.9</v>
      </c>
      <c r="C95" s="1" t="s">
        <v>20</v>
      </c>
      <c r="D95" s="2">
        <v>42705</v>
      </c>
      <c r="E95" s="2">
        <v>42705</v>
      </c>
      <c r="F95" s="17">
        <v>1050000</v>
      </c>
      <c r="G95" s="17">
        <v>20231.21</v>
      </c>
      <c r="H95" s="1"/>
      <c r="I95" s="1" t="s">
        <v>21</v>
      </c>
      <c r="J95" s="1" t="s">
        <v>32</v>
      </c>
      <c r="K95" s="1" t="s">
        <v>78</v>
      </c>
      <c r="L95" s="1" t="s">
        <v>76</v>
      </c>
      <c r="M95" s="1"/>
      <c r="N95" s="1"/>
      <c r="O95" s="31">
        <v>4</v>
      </c>
      <c r="P95" s="31">
        <v>1</v>
      </c>
      <c r="Q95" s="32">
        <v>2009</v>
      </c>
    </row>
    <row r="96" spans="1:17" x14ac:dyDescent="0.25">
      <c r="A96" s="1" t="s">
        <v>93</v>
      </c>
      <c r="B96" s="31">
        <v>43.9</v>
      </c>
      <c r="C96" s="1" t="s">
        <v>20</v>
      </c>
      <c r="D96" s="2">
        <v>42795</v>
      </c>
      <c r="E96" s="2">
        <v>42795</v>
      </c>
      <c r="F96" s="17">
        <v>900000</v>
      </c>
      <c r="G96" s="17">
        <v>20501.14</v>
      </c>
      <c r="H96" s="1"/>
      <c r="I96" s="1" t="s">
        <v>21</v>
      </c>
      <c r="J96" s="1" t="s">
        <v>32</v>
      </c>
      <c r="K96" s="1" t="s">
        <v>78</v>
      </c>
      <c r="L96" s="1" t="s">
        <v>76</v>
      </c>
      <c r="M96" s="1"/>
      <c r="N96" s="1" t="s">
        <v>96</v>
      </c>
      <c r="O96" s="31">
        <v>3</v>
      </c>
      <c r="P96" s="31">
        <v>2</v>
      </c>
      <c r="Q96" s="32">
        <v>2005</v>
      </c>
    </row>
    <row r="97" spans="1:17" x14ac:dyDescent="0.25">
      <c r="A97" s="1" t="s">
        <v>93</v>
      </c>
      <c r="B97" s="31">
        <v>43.9</v>
      </c>
      <c r="C97" s="1" t="s">
        <v>20</v>
      </c>
      <c r="D97" s="2">
        <v>42795</v>
      </c>
      <c r="E97" s="2">
        <v>42795</v>
      </c>
      <c r="F97" s="17">
        <v>900000</v>
      </c>
      <c r="G97" s="17">
        <v>20501.14</v>
      </c>
      <c r="H97" s="1"/>
      <c r="I97" s="1" t="s">
        <v>21</v>
      </c>
      <c r="J97" s="1" t="s">
        <v>32</v>
      </c>
      <c r="K97" s="1" t="s">
        <v>78</v>
      </c>
      <c r="L97" s="1" t="s">
        <v>76</v>
      </c>
      <c r="M97" s="1"/>
      <c r="N97" s="1" t="s">
        <v>96</v>
      </c>
      <c r="O97" s="31">
        <v>3</v>
      </c>
      <c r="P97" s="31">
        <v>2</v>
      </c>
      <c r="Q97" s="32">
        <v>2005</v>
      </c>
    </row>
    <row r="98" spans="1:17" x14ac:dyDescent="0.25">
      <c r="A98" s="1" t="s">
        <v>95</v>
      </c>
      <c r="B98" s="31">
        <v>34.799999999999997</v>
      </c>
      <c r="C98" s="1" t="s">
        <v>20</v>
      </c>
      <c r="D98" s="2">
        <v>42705</v>
      </c>
      <c r="E98" s="2">
        <v>42705</v>
      </c>
      <c r="F98" s="17">
        <v>720000</v>
      </c>
      <c r="G98" s="17">
        <v>20689.66</v>
      </c>
      <c r="H98" s="1"/>
      <c r="I98" s="1" t="s">
        <v>21</v>
      </c>
      <c r="J98" s="1" t="s">
        <v>32</v>
      </c>
      <c r="K98" s="1" t="s">
        <v>78</v>
      </c>
      <c r="L98" s="1" t="s">
        <v>76</v>
      </c>
      <c r="M98" s="1"/>
      <c r="N98" s="1" t="s">
        <v>94</v>
      </c>
      <c r="O98" s="31">
        <v>1</v>
      </c>
      <c r="P98" s="31">
        <v>1</v>
      </c>
      <c r="Q98" s="32">
        <v>2000</v>
      </c>
    </row>
    <row r="99" spans="1:17" x14ac:dyDescent="0.25">
      <c r="A99" s="1" t="s">
        <v>102</v>
      </c>
      <c r="B99" s="31">
        <v>40.299999999999997</v>
      </c>
      <c r="C99" s="1" t="s">
        <v>20</v>
      </c>
      <c r="D99" s="2">
        <v>42795</v>
      </c>
      <c r="E99" s="2">
        <v>42795</v>
      </c>
      <c r="F99" s="17">
        <v>850000</v>
      </c>
      <c r="G99" s="17">
        <v>21091.81</v>
      </c>
      <c r="H99" s="1"/>
      <c r="I99" s="1" t="s">
        <v>21</v>
      </c>
      <c r="J99" s="1" t="s">
        <v>32</v>
      </c>
      <c r="K99" s="1" t="s">
        <v>78</v>
      </c>
      <c r="L99" s="1" t="s">
        <v>76</v>
      </c>
      <c r="M99" s="1"/>
      <c r="N99" s="1"/>
      <c r="O99" s="31">
        <v>5</v>
      </c>
      <c r="P99" s="31">
        <v>1</v>
      </c>
      <c r="Q99" s="32">
        <v>2008</v>
      </c>
    </row>
    <row r="100" spans="1:17" x14ac:dyDescent="0.25">
      <c r="A100" s="1" t="s">
        <v>83</v>
      </c>
      <c r="B100" s="31">
        <v>23.5</v>
      </c>
      <c r="C100" s="1" t="s">
        <v>20</v>
      </c>
      <c r="D100" s="2">
        <v>42705</v>
      </c>
      <c r="E100" s="2">
        <v>42705</v>
      </c>
      <c r="F100" s="17">
        <v>500000</v>
      </c>
      <c r="G100" s="17">
        <v>21276.6</v>
      </c>
      <c r="H100" s="1"/>
      <c r="I100" s="1" t="s">
        <v>21</v>
      </c>
      <c r="J100" s="1" t="s">
        <v>32</v>
      </c>
      <c r="K100" s="1" t="s">
        <v>78</v>
      </c>
      <c r="L100" s="1" t="s">
        <v>76</v>
      </c>
      <c r="M100" s="1"/>
      <c r="N100" s="1"/>
      <c r="O100" s="31">
        <v>3</v>
      </c>
      <c r="P100" s="31">
        <v>1</v>
      </c>
      <c r="Q100" s="32">
        <v>2000</v>
      </c>
    </row>
    <row r="101" spans="1:17" x14ac:dyDescent="0.25">
      <c r="A101" s="1" t="s">
        <v>83</v>
      </c>
      <c r="B101" s="31">
        <v>32.9</v>
      </c>
      <c r="C101" s="1" t="s">
        <v>20</v>
      </c>
      <c r="D101" s="2">
        <v>42767</v>
      </c>
      <c r="E101" s="2">
        <v>42767</v>
      </c>
      <c r="F101" s="17">
        <v>700000</v>
      </c>
      <c r="G101" s="17">
        <v>21276.6</v>
      </c>
      <c r="H101" s="1"/>
      <c r="I101" s="1" t="s">
        <v>21</v>
      </c>
      <c r="J101" s="1" t="s">
        <v>32</v>
      </c>
      <c r="K101" s="1" t="s">
        <v>78</v>
      </c>
      <c r="L101" s="1" t="s">
        <v>76</v>
      </c>
      <c r="M101" s="1"/>
      <c r="N101" s="1"/>
      <c r="O101" s="31">
        <v>3</v>
      </c>
      <c r="P101" s="31">
        <v>1</v>
      </c>
      <c r="Q101" s="32">
        <v>2001</v>
      </c>
    </row>
    <row r="102" spans="1:17" x14ac:dyDescent="0.25">
      <c r="A102" s="1" t="s">
        <v>83</v>
      </c>
      <c r="B102" s="31">
        <v>50.3</v>
      </c>
      <c r="C102" s="1" t="s">
        <v>20</v>
      </c>
      <c r="D102" s="2">
        <v>42795</v>
      </c>
      <c r="E102" s="2">
        <v>42795</v>
      </c>
      <c r="F102" s="17">
        <v>1080000</v>
      </c>
      <c r="G102" s="17">
        <v>21471.17</v>
      </c>
      <c r="H102" s="1"/>
      <c r="I102" s="1" t="s">
        <v>21</v>
      </c>
      <c r="J102" s="1" t="s">
        <v>32</v>
      </c>
      <c r="K102" s="1" t="s">
        <v>78</v>
      </c>
      <c r="L102" s="1" t="s">
        <v>76</v>
      </c>
      <c r="M102" s="1"/>
      <c r="N102" s="1" t="s">
        <v>92</v>
      </c>
      <c r="O102" s="31">
        <v>5</v>
      </c>
      <c r="P102" s="31">
        <v>2</v>
      </c>
      <c r="Q102" s="32">
        <v>2007</v>
      </c>
    </row>
    <row r="103" spans="1:17" x14ac:dyDescent="0.25">
      <c r="A103" s="1" t="s">
        <v>83</v>
      </c>
      <c r="B103" s="31">
        <v>50.3</v>
      </c>
      <c r="C103" s="1" t="s">
        <v>20</v>
      </c>
      <c r="D103" s="2">
        <v>42795</v>
      </c>
      <c r="E103" s="2">
        <v>42795</v>
      </c>
      <c r="F103" s="17">
        <v>1080000</v>
      </c>
      <c r="G103" s="17">
        <v>21471.17</v>
      </c>
      <c r="H103" s="1"/>
      <c r="I103" s="1" t="s">
        <v>21</v>
      </c>
      <c r="J103" s="1" t="s">
        <v>32</v>
      </c>
      <c r="K103" s="1" t="s">
        <v>78</v>
      </c>
      <c r="L103" s="1" t="s">
        <v>76</v>
      </c>
      <c r="M103" s="1"/>
      <c r="N103" s="1" t="s">
        <v>92</v>
      </c>
      <c r="O103" s="31">
        <v>5</v>
      </c>
      <c r="P103" s="31">
        <v>2</v>
      </c>
      <c r="Q103" s="32">
        <v>2007</v>
      </c>
    </row>
    <row r="104" spans="1:17" x14ac:dyDescent="0.25">
      <c r="A104" s="1" t="s">
        <v>93</v>
      </c>
      <c r="B104" s="31">
        <v>33.799999999999997</v>
      </c>
      <c r="C104" s="1" t="s">
        <v>20</v>
      </c>
      <c r="D104" s="2">
        <v>42795</v>
      </c>
      <c r="E104" s="2">
        <v>42795</v>
      </c>
      <c r="F104" s="17">
        <v>736000</v>
      </c>
      <c r="G104" s="17">
        <v>21775.15</v>
      </c>
      <c r="H104" s="1"/>
      <c r="I104" s="1" t="s">
        <v>21</v>
      </c>
      <c r="J104" s="1" t="s">
        <v>32</v>
      </c>
      <c r="K104" s="1" t="s">
        <v>78</v>
      </c>
      <c r="L104" s="1" t="s">
        <v>76</v>
      </c>
      <c r="M104" s="1"/>
      <c r="N104" s="1"/>
      <c r="O104" s="31">
        <v>4</v>
      </c>
      <c r="P104" s="31">
        <v>1</v>
      </c>
      <c r="Q104" s="32">
        <v>2007</v>
      </c>
    </row>
    <row r="105" spans="1:17" x14ac:dyDescent="0.25">
      <c r="A105" s="1" t="s">
        <v>89</v>
      </c>
      <c r="B105" s="31">
        <v>20.8</v>
      </c>
      <c r="C105" s="1" t="s">
        <v>20</v>
      </c>
      <c r="D105" s="2">
        <v>42705</v>
      </c>
      <c r="E105" s="2">
        <v>42705</v>
      </c>
      <c r="F105" s="17">
        <v>453026</v>
      </c>
      <c r="G105" s="17">
        <v>21780.1</v>
      </c>
      <c r="H105" s="1"/>
      <c r="I105" s="1" t="s">
        <v>21</v>
      </c>
      <c r="J105" s="1" t="s">
        <v>32</v>
      </c>
      <c r="K105" s="1" t="s">
        <v>78</v>
      </c>
      <c r="L105" s="1" t="s">
        <v>76</v>
      </c>
      <c r="M105" s="1"/>
      <c r="N105" s="1"/>
      <c r="O105" s="31">
        <v>3</v>
      </c>
      <c r="P105" s="31">
        <v>1</v>
      </c>
      <c r="Q105" s="32">
        <v>2015</v>
      </c>
    </row>
    <row r="106" spans="1:17" x14ac:dyDescent="0.25">
      <c r="A106" s="1" t="s">
        <v>80</v>
      </c>
      <c r="B106" s="31">
        <v>45.3</v>
      </c>
      <c r="C106" s="1" t="s">
        <v>20</v>
      </c>
      <c r="D106" s="2">
        <v>42614</v>
      </c>
      <c r="E106" s="2">
        <v>42644</v>
      </c>
      <c r="F106" s="17">
        <v>995250</v>
      </c>
      <c r="G106" s="17">
        <v>21970.2</v>
      </c>
      <c r="H106" s="1"/>
      <c r="I106" s="1" t="s">
        <v>21</v>
      </c>
      <c r="J106" s="1" t="s">
        <v>32</v>
      </c>
      <c r="K106" s="1" t="s">
        <v>78</v>
      </c>
      <c r="L106" s="1" t="s">
        <v>76</v>
      </c>
      <c r="M106" s="1"/>
      <c r="N106" s="1" t="s">
        <v>81</v>
      </c>
      <c r="O106" s="31">
        <v>1</v>
      </c>
      <c r="P106" s="31">
        <v>1</v>
      </c>
      <c r="Q106" s="32">
        <v>2014</v>
      </c>
    </row>
    <row r="107" spans="1:17" x14ac:dyDescent="0.25">
      <c r="A107" s="1" t="s">
        <v>107</v>
      </c>
      <c r="B107" s="31">
        <v>40.9</v>
      </c>
      <c r="C107" s="1" t="s">
        <v>20</v>
      </c>
      <c r="D107" s="2">
        <v>42736</v>
      </c>
      <c r="E107" s="2">
        <v>42736</v>
      </c>
      <c r="F107" s="17">
        <v>900000</v>
      </c>
      <c r="G107" s="17">
        <v>22004.89</v>
      </c>
      <c r="H107" s="1"/>
      <c r="I107" s="1" t="s">
        <v>21</v>
      </c>
      <c r="J107" s="1" t="s">
        <v>32</v>
      </c>
      <c r="K107" s="1" t="s">
        <v>78</v>
      </c>
      <c r="L107" s="1" t="s">
        <v>76</v>
      </c>
      <c r="M107" s="1"/>
      <c r="N107" s="1" t="s">
        <v>108</v>
      </c>
      <c r="O107" s="31">
        <v>2</v>
      </c>
      <c r="P107" s="31">
        <v>1</v>
      </c>
      <c r="Q107" s="32">
        <v>2005</v>
      </c>
    </row>
    <row r="108" spans="1:17" x14ac:dyDescent="0.25">
      <c r="A108" s="1" t="s">
        <v>89</v>
      </c>
      <c r="B108" s="31">
        <v>20.9</v>
      </c>
      <c r="C108" s="1" t="s">
        <v>20</v>
      </c>
      <c r="D108" s="2">
        <v>42736</v>
      </c>
      <c r="E108" s="2">
        <v>42736</v>
      </c>
      <c r="F108" s="17">
        <v>471960</v>
      </c>
      <c r="G108" s="17">
        <v>22581.82</v>
      </c>
      <c r="H108" s="1"/>
      <c r="I108" s="1" t="s">
        <v>21</v>
      </c>
      <c r="J108" s="1" t="s">
        <v>32</v>
      </c>
      <c r="K108" s="1" t="s">
        <v>78</v>
      </c>
      <c r="L108" s="1" t="s">
        <v>76</v>
      </c>
      <c r="M108" s="1"/>
      <c r="N108" s="1"/>
      <c r="O108" s="31">
        <v>2</v>
      </c>
      <c r="P108" s="31">
        <v>1</v>
      </c>
      <c r="Q108" s="32">
        <v>2015</v>
      </c>
    </row>
    <row r="109" spans="1:17" x14ac:dyDescent="0.25">
      <c r="A109" s="1" t="s">
        <v>87</v>
      </c>
      <c r="B109" s="31">
        <v>45.2</v>
      </c>
      <c r="C109" s="1" t="s">
        <v>20</v>
      </c>
      <c r="D109" s="2">
        <v>42767</v>
      </c>
      <c r="E109" s="2">
        <v>42795</v>
      </c>
      <c r="F109" s="17">
        <v>1040000</v>
      </c>
      <c r="G109" s="17">
        <v>23008.85</v>
      </c>
      <c r="H109" s="1"/>
      <c r="I109" s="1" t="s">
        <v>21</v>
      </c>
      <c r="J109" s="1" t="s">
        <v>32</v>
      </c>
      <c r="K109" s="1" t="s">
        <v>78</v>
      </c>
      <c r="L109" s="1" t="s">
        <v>76</v>
      </c>
      <c r="M109" s="1"/>
      <c r="N109" s="1"/>
      <c r="O109" s="31">
        <v>1</v>
      </c>
      <c r="P109" s="31">
        <v>2</v>
      </c>
      <c r="Q109" s="32">
        <v>2001</v>
      </c>
    </row>
    <row r="110" spans="1:17" x14ac:dyDescent="0.25">
      <c r="A110" s="1" t="s">
        <v>87</v>
      </c>
      <c r="B110" s="31">
        <v>45.2</v>
      </c>
      <c r="C110" s="1" t="s">
        <v>20</v>
      </c>
      <c r="D110" s="2">
        <v>42767</v>
      </c>
      <c r="E110" s="2">
        <v>42795</v>
      </c>
      <c r="F110" s="17">
        <v>1040000</v>
      </c>
      <c r="G110" s="17">
        <v>23008.85</v>
      </c>
      <c r="H110" s="1"/>
      <c r="I110" s="1" t="s">
        <v>21</v>
      </c>
      <c r="J110" s="1" t="s">
        <v>32</v>
      </c>
      <c r="K110" s="1" t="s">
        <v>78</v>
      </c>
      <c r="L110" s="1" t="s">
        <v>76</v>
      </c>
      <c r="M110" s="1"/>
      <c r="N110" s="1"/>
      <c r="O110" s="31">
        <v>1</v>
      </c>
      <c r="P110" s="31">
        <v>2</v>
      </c>
      <c r="Q110" s="32">
        <v>2001</v>
      </c>
    </row>
    <row r="111" spans="1:17" x14ac:dyDescent="0.25">
      <c r="A111" s="1" t="s">
        <v>103</v>
      </c>
      <c r="B111" s="31">
        <v>35.6</v>
      </c>
      <c r="C111" s="1" t="s">
        <v>20</v>
      </c>
      <c r="D111" s="2">
        <v>42795</v>
      </c>
      <c r="E111" s="2">
        <v>42795</v>
      </c>
      <c r="F111" s="17">
        <v>824000</v>
      </c>
      <c r="G111" s="17">
        <v>23146.07</v>
      </c>
      <c r="H111" s="1"/>
      <c r="I111" s="1" t="s">
        <v>21</v>
      </c>
      <c r="J111" s="1" t="s">
        <v>32</v>
      </c>
      <c r="K111" s="1" t="s">
        <v>78</v>
      </c>
      <c r="L111" s="1" t="s">
        <v>76</v>
      </c>
      <c r="M111" s="1"/>
      <c r="N111" s="1" t="s">
        <v>94</v>
      </c>
      <c r="O111" s="31">
        <v>2</v>
      </c>
      <c r="P111" s="31">
        <v>1</v>
      </c>
      <c r="Q111" s="32">
        <v>2008</v>
      </c>
    </row>
    <row r="112" spans="1:17" x14ac:dyDescent="0.25">
      <c r="A112" s="1" t="s">
        <v>83</v>
      </c>
      <c r="B112" s="31">
        <v>44.3</v>
      </c>
      <c r="C112" s="1" t="s">
        <v>20</v>
      </c>
      <c r="D112" s="2">
        <v>42644</v>
      </c>
      <c r="E112" s="2">
        <v>42644</v>
      </c>
      <c r="F112" s="17">
        <v>1040000</v>
      </c>
      <c r="G112" s="17">
        <v>23476.3</v>
      </c>
      <c r="H112" s="1"/>
      <c r="I112" s="1" t="s">
        <v>21</v>
      </c>
      <c r="J112" s="1" t="s">
        <v>32</v>
      </c>
      <c r="K112" s="1" t="s">
        <v>78</v>
      </c>
      <c r="L112" s="1" t="s">
        <v>76</v>
      </c>
      <c r="M112" s="1"/>
      <c r="N112" s="1"/>
      <c r="O112" s="31">
        <v>5</v>
      </c>
      <c r="P112" s="31">
        <v>1</v>
      </c>
      <c r="Q112" s="32">
        <v>2001</v>
      </c>
    </row>
    <row r="113" spans="1:17" x14ac:dyDescent="0.25">
      <c r="A113" s="1" t="s">
        <v>83</v>
      </c>
      <c r="B113" s="31">
        <v>44.6</v>
      </c>
      <c r="C113" s="1" t="s">
        <v>20</v>
      </c>
      <c r="D113" s="2">
        <v>42767</v>
      </c>
      <c r="E113" s="2">
        <v>42767</v>
      </c>
      <c r="F113" s="17">
        <v>1050000</v>
      </c>
      <c r="G113" s="17">
        <v>23542.6</v>
      </c>
      <c r="H113" s="1"/>
      <c r="I113" s="1" t="s">
        <v>21</v>
      </c>
      <c r="J113" s="1" t="s">
        <v>32</v>
      </c>
      <c r="K113" s="1" t="s">
        <v>78</v>
      </c>
      <c r="L113" s="1" t="s">
        <v>76</v>
      </c>
      <c r="M113" s="1"/>
      <c r="N113" s="1"/>
      <c r="O113" s="31">
        <v>2</v>
      </c>
      <c r="P113" s="31">
        <v>1</v>
      </c>
      <c r="Q113" s="32">
        <v>2001</v>
      </c>
    </row>
    <row r="114" spans="1:17" x14ac:dyDescent="0.25">
      <c r="A114" s="1" t="s">
        <v>77</v>
      </c>
      <c r="B114" s="31">
        <v>29.7</v>
      </c>
      <c r="C114" s="1" t="s">
        <v>20</v>
      </c>
      <c r="D114" s="2">
        <v>42644</v>
      </c>
      <c r="E114" s="2">
        <v>42644</v>
      </c>
      <c r="F114" s="17">
        <v>700000</v>
      </c>
      <c r="G114" s="17">
        <v>23569.02</v>
      </c>
      <c r="H114" s="1"/>
      <c r="I114" s="1" t="s">
        <v>21</v>
      </c>
      <c r="J114" s="1" t="s">
        <v>32</v>
      </c>
      <c r="K114" s="1" t="s">
        <v>78</v>
      </c>
      <c r="L114" s="1" t="s">
        <v>76</v>
      </c>
      <c r="M114" s="1"/>
      <c r="N114" s="1" t="s">
        <v>79</v>
      </c>
      <c r="O114" s="31">
        <v>3</v>
      </c>
      <c r="P114" s="31">
        <v>1</v>
      </c>
      <c r="Q114" s="32">
        <v>2002</v>
      </c>
    </row>
    <row r="115" spans="1:17" x14ac:dyDescent="0.25">
      <c r="A115" s="1" t="s">
        <v>99</v>
      </c>
      <c r="B115" s="31">
        <v>43.6</v>
      </c>
      <c r="C115" s="1" t="s">
        <v>20</v>
      </c>
      <c r="D115" s="2">
        <v>42675</v>
      </c>
      <c r="E115" s="2">
        <v>42675</v>
      </c>
      <c r="F115" s="17">
        <v>1040000</v>
      </c>
      <c r="G115" s="17">
        <v>23853.21</v>
      </c>
      <c r="H115" s="1"/>
      <c r="I115" s="1" t="s">
        <v>21</v>
      </c>
      <c r="J115" s="1" t="s">
        <v>32</v>
      </c>
      <c r="K115" s="1" t="s">
        <v>78</v>
      </c>
      <c r="L115" s="1" t="s">
        <v>76</v>
      </c>
      <c r="M115" s="1"/>
      <c r="N115" s="1" t="s">
        <v>92</v>
      </c>
      <c r="O115" s="31">
        <v>2</v>
      </c>
      <c r="P115" s="31">
        <v>1</v>
      </c>
      <c r="Q115" s="32">
        <v>2010</v>
      </c>
    </row>
    <row r="116" spans="1:17" x14ac:dyDescent="0.25">
      <c r="A116" s="1" t="s">
        <v>110</v>
      </c>
      <c r="B116" s="31">
        <v>46</v>
      </c>
      <c r="C116" s="1" t="s">
        <v>20</v>
      </c>
      <c r="D116" s="2">
        <v>42795</v>
      </c>
      <c r="E116" s="2">
        <v>42795</v>
      </c>
      <c r="F116" s="17">
        <v>1100000</v>
      </c>
      <c r="G116" s="17">
        <v>23913.040000000001</v>
      </c>
      <c r="H116" s="1"/>
      <c r="I116" s="1" t="s">
        <v>21</v>
      </c>
      <c r="J116" s="1" t="s">
        <v>32</v>
      </c>
      <c r="K116" s="1" t="s">
        <v>78</v>
      </c>
      <c r="L116" s="1" t="s">
        <v>76</v>
      </c>
      <c r="M116" s="1"/>
      <c r="N116" s="1" t="s">
        <v>109</v>
      </c>
      <c r="O116" s="31">
        <v>1</v>
      </c>
      <c r="P116" s="31">
        <v>1</v>
      </c>
      <c r="Q116" s="32">
        <v>2003</v>
      </c>
    </row>
    <row r="117" spans="1:17" x14ac:dyDescent="0.25">
      <c r="A117" s="1" t="s">
        <v>103</v>
      </c>
      <c r="B117" s="31">
        <v>28.2</v>
      </c>
      <c r="C117" s="1" t="s">
        <v>20</v>
      </c>
      <c r="D117" s="2">
        <v>42767</v>
      </c>
      <c r="E117" s="2">
        <v>42767</v>
      </c>
      <c r="F117" s="17">
        <v>680000</v>
      </c>
      <c r="G117" s="17">
        <v>24113.48</v>
      </c>
      <c r="H117" s="1"/>
      <c r="I117" s="1" t="s">
        <v>21</v>
      </c>
      <c r="J117" s="1" t="s">
        <v>32</v>
      </c>
      <c r="K117" s="1" t="s">
        <v>78</v>
      </c>
      <c r="L117" s="1" t="s">
        <v>76</v>
      </c>
      <c r="M117" s="1"/>
      <c r="N117" s="1"/>
      <c r="O117" s="31">
        <v>4</v>
      </c>
      <c r="P117" s="31">
        <v>1</v>
      </c>
      <c r="Q117" s="32">
        <v>2004</v>
      </c>
    </row>
    <row r="118" spans="1:17" x14ac:dyDescent="0.25">
      <c r="A118" s="1" t="s">
        <v>77</v>
      </c>
      <c r="B118" s="31">
        <v>59.4</v>
      </c>
      <c r="C118" s="1" t="s">
        <v>20</v>
      </c>
      <c r="D118" s="2">
        <v>42736</v>
      </c>
      <c r="E118" s="2">
        <v>42736</v>
      </c>
      <c r="F118" s="17">
        <v>1448000</v>
      </c>
      <c r="G118" s="17">
        <v>24377.1</v>
      </c>
      <c r="H118" s="1"/>
      <c r="I118" s="1" t="s">
        <v>21</v>
      </c>
      <c r="J118" s="1" t="s">
        <v>32</v>
      </c>
      <c r="K118" s="1" t="s">
        <v>78</v>
      </c>
      <c r="L118" s="1" t="s">
        <v>76</v>
      </c>
      <c r="M118" s="1"/>
      <c r="N118" s="1" t="s">
        <v>79</v>
      </c>
      <c r="O118" s="31">
        <v>5</v>
      </c>
      <c r="P118" s="31">
        <v>1</v>
      </c>
      <c r="Q118" s="32">
        <v>1999</v>
      </c>
    </row>
    <row r="119" spans="1:17" x14ac:dyDescent="0.25">
      <c r="A119" s="1" t="s">
        <v>103</v>
      </c>
      <c r="B119" s="31">
        <v>49.2</v>
      </c>
      <c r="C119" s="1" t="s">
        <v>20</v>
      </c>
      <c r="D119" s="2">
        <v>42736</v>
      </c>
      <c r="E119" s="2">
        <v>42736</v>
      </c>
      <c r="F119" s="17">
        <v>1200000</v>
      </c>
      <c r="G119" s="17">
        <v>24390.240000000002</v>
      </c>
      <c r="H119" s="1"/>
      <c r="I119" s="1" t="s">
        <v>21</v>
      </c>
      <c r="J119" s="1" t="s">
        <v>32</v>
      </c>
      <c r="K119" s="1" t="s">
        <v>78</v>
      </c>
      <c r="L119" s="1" t="s">
        <v>76</v>
      </c>
      <c r="M119" s="1"/>
      <c r="N119" s="1" t="s">
        <v>94</v>
      </c>
      <c r="O119" s="31">
        <v>1</v>
      </c>
      <c r="P119" s="31">
        <v>1</v>
      </c>
      <c r="Q119" s="32">
        <v>1999</v>
      </c>
    </row>
    <row r="120" spans="1:17" x14ac:dyDescent="0.25">
      <c r="A120" s="1" t="s">
        <v>100</v>
      </c>
      <c r="B120" s="31">
        <v>42.4</v>
      </c>
      <c r="C120" s="1" t="s">
        <v>20</v>
      </c>
      <c r="D120" s="2">
        <v>42795</v>
      </c>
      <c r="E120" s="2">
        <v>42795</v>
      </c>
      <c r="F120" s="17">
        <v>1040000</v>
      </c>
      <c r="G120" s="17">
        <v>24528.3</v>
      </c>
      <c r="H120" s="1"/>
      <c r="I120" s="1" t="s">
        <v>21</v>
      </c>
      <c r="J120" s="1" t="s">
        <v>32</v>
      </c>
      <c r="K120" s="1" t="s">
        <v>78</v>
      </c>
      <c r="L120" s="1" t="s">
        <v>76</v>
      </c>
      <c r="M120" s="1"/>
      <c r="N120" s="1" t="s">
        <v>79</v>
      </c>
      <c r="O120" s="31">
        <v>3</v>
      </c>
      <c r="P120" s="31">
        <v>1</v>
      </c>
      <c r="Q120" s="32">
        <v>2008</v>
      </c>
    </row>
    <row r="121" spans="1:17" x14ac:dyDescent="0.25">
      <c r="A121" s="1" t="s">
        <v>103</v>
      </c>
      <c r="B121" s="31">
        <v>43.1</v>
      </c>
      <c r="C121" s="1" t="s">
        <v>20</v>
      </c>
      <c r="D121" s="2">
        <v>42736</v>
      </c>
      <c r="E121" s="2">
        <v>42736</v>
      </c>
      <c r="F121" s="17">
        <v>1080000</v>
      </c>
      <c r="G121" s="17">
        <v>25058</v>
      </c>
      <c r="H121" s="1"/>
      <c r="I121" s="1" t="s">
        <v>21</v>
      </c>
      <c r="J121" s="1" t="s">
        <v>32</v>
      </c>
      <c r="K121" s="1" t="s">
        <v>78</v>
      </c>
      <c r="L121" s="1" t="s">
        <v>76</v>
      </c>
      <c r="M121" s="1"/>
      <c r="N121" s="1" t="s">
        <v>94</v>
      </c>
      <c r="O121" s="31">
        <v>1</v>
      </c>
      <c r="P121" s="31">
        <v>1</v>
      </c>
      <c r="Q121" s="32">
        <v>2011</v>
      </c>
    </row>
    <row r="122" spans="1:17" x14ac:dyDescent="0.25">
      <c r="A122" s="1" t="s">
        <v>83</v>
      </c>
      <c r="B122" s="31">
        <v>41.9</v>
      </c>
      <c r="C122" s="1" t="s">
        <v>20</v>
      </c>
      <c r="D122" s="2">
        <v>42675</v>
      </c>
      <c r="E122" s="2">
        <v>42675</v>
      </c>
      <c r="F122" s="17">
        <v>1064000</v>
      </c>
      <c r="G122" s="17">
        <v>25393.79</v>
      </c>
      <c r="H122" s="1"/>
      <c r="I122" s="1" t="s">
        <v>21</v>
      </c>
      <c r="J122" s="1" t="s">
        <v>32</v>
      </c>
      <c r="K122" s="1" t="s">
        <v>78</v>
      </c>
      <c r="L122" s="1" t="s">
        <v>76</v>
      </c>
      <c r="M122" s="1"/>
      <c r="N122" s="1"/>
      <c r="O122" s="31">
        <v>4</v>
      </c>
      <c r="P122" s="31">
        <v>1</v>
      </c>
      <c r="Q122" s="32">
        <v>2005</v>
      </c>
    </row>
    <row r="123" spans="1:17" x14ac:dyDescent="0.25">
      <c r="A123" s="1" t="s">
        <v>95</v>
      </c>
      <c r="B123" s="31">
        <v>36.1</v>
      </c>
      <c r="C123" s="1" t="s">
        <v>20</v>
      </c>
      <c r="D123" s="2">
        <v>42795</v>
      </c>
      <c r="E123" s="2">
        <v>42795</v>
      </c>
      <c r="F123" s="17">
        <v>920000</v>
      </c>
      <c r="G123" s="17">
        <v>25484.76</v>
      </c>
      <c r="H123" s="1"/>
      <c r="I123" s="1" t="s">
        <v>21</v>
      </c>
      <c r="J123" s="1" t="s">
        <v>32</v>
      </c>
      <c r="K123" s="1" t="s">
        <v>78</v>
      </c>
      <c r="L123" s="1" t="s">
        <v>76</v>
      </c>
      <c r="M123" s="1"/>
      <c r="N123" s="1"/>
      <c r="O123" s="31">
        <v>3</v>
      </c>
      <c r="P123" s="31">
        <v>1</v>
      </c>
      <c r="Q123" s="32">
        <v>2004</v>
      </c>
    </row>
    <row r="124" spans="1:17" x14ac:dyDescent="0.25">
      <c r="A124" s="1" t="s">
        <v>95</v>
      </c>
      <c r="B124" s="31">
        <v>75.900000000000006</v>
      </c>
      <c r="C124" s="1" t="s">
        <v>20</v>
      </c>
      <c r="D124" s="2">
        <v>42767</v>
      </c>
      <c r="E124" s="2">
        <v>42767</v>
      </c>
      <c r="F124" s="17">
        <v>1950000</v>
      </c>
      <c r="G124" s="17">
        <v>25691.7</v>
      </c>
      <c r="H124" s="1"/>
      <c r="I124" s="1" t="s">
        <v>21</v>
      </c>
      <c r="J124" s="1" t="s">
        <v>32</v>
      </c>
      <c r="K124" s="1" t="s">
        <v>78</v>
      </c>
      <c r="L124" s="1" t="s">
        <v>76</v>
      </c>
      <c r="M124" s="1"/>
      <c r="N124" s="1" t="s">
        <v>96</v>
      </c>
      <c r="O124" s="31">
        <v>2</v>
      </c>
      <c r="P124" s="31">
        <v>1</v>
      </c>
      <c r="Q124" s="32">
        <v>2002</v>
      </c>
    </row>
    <row r="125" spans="1:17" x14ac:dyDescent="0.25">
      <c r="A125" s="1" t="s">
        <v>87</v>
      </c>
      <c r="B125" s="31">
        <v>37.200000000000003</v>
      </c>
      <c r="C125" s="1" t="s">
        <v>20</v>
      </c>
      <c r="D125" s="2">
        <v>42767</v>
      </c>
      <c r="E125" s="2">
        <v>42767</v>
      </c>
      <c r="F125" s="17">
        <v>960000</v>
      </c>
      <c r="G125" s="17">
        <v>25806.45</v>
      </c>
      <c r="H125" s="1"/>
      <c r="I125" s="1" t="s">
        <v>21</v>
      </c>
      <c r="J125" s="1" t="s">
        <v>32</v>
      </c>
      <c r="K125" s="1" t="s">
        <v>78</v>
      </c>
      <c r="L125" s="1" t="s">
        <v>76</v>
      </c>
      <c r="M125" s="1"/>
      <c r="N125" s="1" t="s">
        <v>94</v>
      </c>
      <c r="O125" s="31">
        <v>3</v>
      </c>
      <c r="P125" s="31">
        <v>2</v>
      </c>
      <c r="Q125" s="32">
        <v>2007</v>
      </c>
    </row>
    <row r="126" spans="1:17" x14ac:dyDescent="0.25">
      <c r="A126" s="1" t="s">
        <v>87</v>
      </c>
      <c r="B126" s="31">
        <v>37.200000000000003</v>
      </c>
      <c r="C126" s="1" t="s">
        <v>20</v>
      </c>
      <c r="D126" s="2">
        <v>42767</v>
      </c>
      <c r="E126" s="2">
        <v>42767</v>
      </c>
      <c r="F126" s="17">
        <v>960000</v>
      </c>
      <c r="G126" s="17">
        <v>25806.45</v>
      </c>
      <c r="H126" s="1"/>
      <c r="I126" s="1" t="s">
        <v>21</v>
      </c>
      <c r="J126" s="1" t="s">
        <v>32</v>
      </c>
      <c r="K126" s="1" t="s">
        <v>78</v>
      </c>
      <c r="L126" s="1" t="s">
        <v>76</v>
      </c>
      <c r="M126" s="1"/>
      <c r="N126" s="1" t="s">
        <v>94</v>
      </c>
      <c r="O126" s="31">
        <v>3</v>
      </c>
      <c r="P126" s="31">
        <v>2</v>
      </c>
      <c r="Q126" s="32">
        <v>2007</v>
      </c>
    </row>
    <row r="127" spans="1:17" x14ac:dyDescent="0.25">
      <c r="A127" s="1" t="s">
        <v>87</v>
      </c>
      <c r="B127" s="31">
        <v>58.6</v>
      </c>
      <c r="C127" s="1" t="s">
        <v>20</v>
      </c>
      <c r="D127" s="2">
        <v>42644</v>
      </c>
      <c r="E127" s="2">
        <v>42675</v>
      </c>
      <c r="F127" s="17">
        <v>1520000</v>
      </c>
      <c r="G127" s="17">
        <v>25938.57</v>
      </c>
      <c r="H127" s="1"/>
      <c r="I127" s="1" t="s">
        <v>21</v>
      </c>
      <c r="J127" s="1" t="s">
        <v>32</v>
      </c>
      <c r="K127" s="1" t="s">
        <v>78</v>
      </c>
      <c r="L127" s="1" t="s">
        <v>76</v>
      </c>
      <c r="M127" s="1"/>
      <c r="N127" s="1"/>
      <c r="O127" s="31">
        <v>1</v>
      </c>
      <c r="P127" s="31">
        <v>1</v>
      </c>
      <c r="Q127" s="32">
        <v>1999</v>
      </c>
    </row>
    <row r="128" spans="1:17" x14ac:dyDescent="0.25">
      <c r="A128" s="1" t="s">
        <v>82</v>
      </c>
      <c r="B128" s="31">
        <v>38.4</v>
      </c>
      <c r="C128" s="1" t="s">
        <v>20</v>
      </c>
      <c r="D128" s="2">
        <v>42644</v>
      </c>
      <c r="E128" s="2">
        <v>42644</v>
      </c>
      <c r="F128" s="17">
        <v>1000000</v>
      </c>
      <c r="G128" s="17">
        <v>26041.67</v>
      </c>
      <c r="H128" s="1"/>
      <c r="I128" s="1" t="s">
        <v>21</v>
      </c>
      <c r="J128" s="1" t="s">
        <v>32</v>
      </c>
      <c r="K128" s="1" t="s">
        <v>78</v>
      </c>
      <c r="L128" s="1" t="s">
        <v>76</v>
      </c>
      <c r="M128" s="1"/>
      <c r="N128" s="1"/>
      <c r="O128" s="31">
        <v>4</v>
      </c>
      <c r="P128" s="31">
        <v>1</v>
      </c>
      <c r="Q128" s="32">
        <v>2000</v>
      </c>
    </row>
    <row r="129" spans="1:17" x14ac:dyDescent="0.25">
      <c r="A129" s="1" t="s">
        <v>93</v>
      </c>
      <c r="B129" s="31">
        <v>47.8</v>
      </c>
      <c r="C129" s="1" t="s">
        <v>20</v>
      </c>
      <c r="D129" s="2">
        <v>42736</v>
      </c>
      <c r="E129" s="2">
        <v>42736</v>
      </c>
      <c r="F129" s="17">
        <v>1250000</v>
      </c>
      <c r="G129" s="17">
        <v>26150.63</v>
      </c>
      <c r="H129" s="1"/>
      <c r="I129" s="1" t="s">
        <v>21</v>
      </c>
      <c r="J129" s="1" t="s">
        <v>32</v>
      </c>
      <c r="K129" s="1" t="s">
        <v>78</v>
      </c>
      <c r="L129" s="1" t="s">
        <v>76</v>
      </c>
      <c r="M129" s="1"/>
      <c r="N129" s="1"/>
      <c r="O129" s="31">
        <v>4</v>
      </c>
      <c r="P129" s="31">
        <v>1</v>
      </c>
      <c r="Q129" s="32">
        <v>2011</v>
      </c>
    </row>
    <row r="130" spans="1:17" x14ac:dyDescent="0.25">
      <c r="A130" s="1" t="s">
        <v>82</v>
      </c>
      <c r="B130" s="31">
        <v>41.2</v>
      </c>
      <c r="C130" s="1" t="s">
        <v>20</v>
      </c>
      <c r="D130" s="2">
        <v>42644</v>
      </c>
      <c r="E130" s="2">
        <v>42675</v>
      </c>
      <c r="F130" s="17">
        <v>1080000</v>
      </c>
      <c r="G130" s="17">
        <v>26213.59</v>
      </c>
      <c r="H130" s="1"/>
      <c r="I130" s="1" t="s">
        <v>21</v>
      </c>
      <c r="J130" s="1" t="s">
        <v>32</v>
      </c>
      <c r="K130" s="1" t="s">
        <v>78</v>
      </c>
      <c r="L130" s="1" t="s">
        <v>76</v>
      </c>
      <c r="M130" s="1"/>
      <c r="N130" s="1"/>
      <c r="O130" s="31">
        <v>3</v>
      </c>
      <c r="P130" s="31">
        <v>1</v>
      </c>
      <c r="Q130" s="32">
        <v>2013</v>
      </c>
    </row>
    <row r="131" spans="1:17" x14ac:dyDescent="0.25">
      <c r="A131" s="1" t="s">
        <v>83</v>
      </c>
      <c r="B131" s="31">
        <v>61.3</v>
      </c>
      <c r="C131" s="1" t="s">
        <v>20</v>
      </c>
      <c r="D131" s="2">
        <v>42644</v>
      </c>
      <c r="E131" s="2">
        <v>42644</v>
      </c>
      <c r="F131" s="17">
        <v>1636512</v>
      </c>
      <c r="G131" s="17">
        <v>26696.77</v>
      </c>
      <c r="H131" s="1"/>
      <c r="I131" s="1" t="s">
        <v>21</v>
      </c>
      <c r="J131" s="1" t="s">
        <v>64</v>
      </c>
      <c r="K131" s="1" t="s">
        <v>78</v>
      </c>
      <c r="L131" s="1" t="s">
        <v>76</v>
      </c>
      <c r="M131" s="1"/>
      <c r="N131" s="1"/>
      <c r="O131" s="31">
        <v>1</v>
      </c>
      <c r="P131" s="31">
        <v>1</v>
      </c>
      <c r="Q131" s="32">
        <v>2014</v>
      </c>
    </row>
    <row r="132" spans="1:17" x14ac:dyDescent="0.25">
      <c r="A132" s="1" t="s">
        <v>77</v>
      </c>
      <c r="B132" s="31">
        <v>42.9</v>
      </c>
      <c r="C132" s="1" t="s">
        <v>20</v>
      </c>
      <c r="D132" s="2">
        <v>42705</v>
      </c>
      <c r="E132" s="2">
        <v>42705</v>
      </c>
      <c r="F132" s="17">
        <v>1150000</v>
      </c>
      <c r="G132" s="17">
        <v>26806.53</v>
      </c>
      <c r="H132" s="1"/>
      <c r="I132" s="1" t="s">
        <v>21</v>
      </c>
      <c r="J132" s="1" t="s">
        <v>32</v>
      </c>
      <c r="K132" s="1" t="s">
        <v>78</v>
      </c>
      <c r="L132" s="1" t="s">
        <v>76</v>
      </c>
      <c r="M132" s="1"/>
      <c r="N132" s="1" t="s">
        <v>92</v>
      </c>
      <c r="O132" s="31">
        <v>4</v>
      </c>
      <c r="P132" s="31">
        <v>1</v>
      </c>
      <c r="Q132" s="32">
        <v>2010</v>
      </c>
    </row>
    <row r="133" spans="1:17" x14ac:dyDescent="0.25">
      <c r="A133" s="1" t="s">
        <v>97</v>
      </c>
      <c r="B133" s="31">
        <v>49.7</v>
      </c>
      <c r="C133" s="1" t="s">
        <v>20</v>
      </c>
      <c r="D133" s="2">
        <v>42736</v>
      </c>
      <c r="E133" s="2">
        <v>42736</v>
      </c>
      <c r="F133" s="17">
        <v>1360000</v>
      </c>
      <c r="G133" s="17">
        <v>27364.19</v>
      </c>
      <c r="H133" s="1"/>
      <c r="I133" s="1" t="s">
        <v>21</v>
      </c>
      <c r="J133" s="1" t="s">
        <v>32</v>
      </c>
      <c r="K133" s="1" t="s">
        <v>78</v>
      </c>
      <c r="L133" s="1" t="s">
        <v>76</v>
      </c>
      <c r="M133" s="1"/>
      <c r="N133" s="1" t="s">
        <v>109</v>
      </c>
      <c r="O133" s="31">
        <v>5</v>
      </c>
      <c r="P133" s="31">
        <v>1</v>
      </c>
      <c r="Q133" s="32">
        <v>2007</v>
      </c>
    </row>
    <row r="134" spans="1:17" x14ac:dyDescent="0.25">
      <c r="A134" s="1" t="s">
        <v>83</v>
      </c>
      <c r="B134" s="31">
        <v>45.3</v>
      </c>
      <c r="C134" s="1" t="s">
        <v>20</v>
      </c>
      <c r="D134" s="2">
        <v>42644</v>
      </c>
      <c r="E134" s="2">
        <v>42644</v>
      </c>
      <c r="F134" s="17">
        <v>1248000</v>
      </c>
      <c r="G134" s="17">
        <v>27549.67</v>
      </c>
      <c r="H134" s="1"/>
      <c r="I134" s="1" t="s">
        <v>21</v>
      </c>
      <c r="J134" s="1" t="s">
        <v>32</v>
      </c>
      <c r="K134" s="1" t="s">
        <v>78</v>
      </c>
      <c r="L134" s="1" t="s">
        <v>76</v>
      </c>
      <c r="M134" s="1"/>
      <c r="N134" s="1"/>
      <c r="O134" s="31">
        <v>3</v>
      </c>
      <c r="P134" s="31">
        <v>1</v>
      </c>
      <c r="Q134" s="32">
        <v>2012</v>
      </c>
    </row>
    <row r="135" spans="1:17" x14ac:dyDescent="0.25">
      <c r="A135" s="1" t="s">
        <v>97</v>
      </c>
      <c r="B135" s="31">
        <v>33.6</v>
      </c>
      <c r="C135" s="1" t="s">
        <v>20</v>
      </c>
      <c r="D135" s="2">
        <v>42705</v>
      </c>
      <c r="E135" s="2">
        <v>42705</v>
      </c>
      <c r="F135" s="17">
        <v>930000</v>
      </c>
      <c r="G135" s="17">
        <v>27678.57</v>
      </c>
      <c r="H135" s="1"/>
      <c r="I135" s="1" t="s">
        <v>21</v>
      </c>
      <c r="J135" s="1" t="s">
        <v>32</v>
      </c>
      <c r="K135" s="1" t="s">
        <v>78</v>
      </c>
      <c r="L135" s="1" t="s">
        <v>76</v>
      </c>
      <c r="M135" s="1"/>
      <c r="N135" s="1" t="s">
        <v>98</v>
      </c>
      <c r="O135" s="31">
        <v>1</v>
      </c>
      <c r="P135" s="31">
        <v>1</v>
      </c>
      <c r="Q135" s="32">
        <v>2001</v>
      </c>
    </row>
    <row r="136" spans="1:17" x14ac:dyDescent="0.25">
      <c r="A136" s="1" t="s">
        <v>87</v>
      </c>
      <c r="B136" s="31">
        <v>66.8</v>
      </c>
      <c r="C136" s="1" t="s">
        <v>20</v>
      </c>
      <c r="D136" s="2">
        <v>42705</v>
      </c>
      <c r="E136" s="2">
        <v>42705</v>
      </c>
      <c r="F136" s="17">
        <v>1884000</v>
      </c>
      <c r="G136" s="17">
        <v>28203.59</v>
      </c>
      <c r="H136" s="1"/>
      <c r="I136" s="1" t="s">
        <v>21</v>
      </c>
      <c r="J136" s="1" t="s">
        <v>32</v>
      </c>
      <c r="K136" s="1" t="s">
        <v>78</v>
      </c>
      <c r="L136" s="1" t="s">
        <v>76</v>
      </c>
      <c r="M136" s="1"/>
      <c r="N136" s="1"/>
      <c r="O136" s="31">
        <v>1</v>
      </c>
      <c r="P136" s="31">
        <v>2</v>
      </c>
      <c r="Q136" s="32">
        <v>2009</v>
      </c>
    </row>
    <row r="137" spans="1:17" x14ac:dyDescent="0.25">
      <c r="A137" s="1" t="s">
        <v>87</v>
      </c>
      <c r="B137" s="31">
        <v>66.8</v>
      </c>
      <c r="C137" s="1" t="s">
        <v>20</v>
      </c>
      <c r="D137" s="2">
        <v>42705</v>
      </c>
      <c r="E137" s="2">
        <v>42705</v>
      </c>
      <c r="F137" s="17">
        <v>1884000</v>
      </c>
      <c r="G137" s="17">
        <v>28203.59</v>
      </c>
      <c r="H137" s="1"/>
      <c r="I137" s="1" t="s">
        <v>21</v>
      </c>
      <c r="J137" s="1" t="s">
        <v>32</v>
      </c>
      <c r="K137" s="1" t="s">
        <v>78</v>
      </c>
      <c r="L137" s="1" t="s">
        <v>76</v>
      </c>
      <c r="M137" s="1"/>
      <c r="N137" s="1"/>
      <c r="O137" s="31">
        <v>1</v>
      </c>
      <c r="P137" s="31">
        <v>2</v>
      </c>
      <c r="Q137" s="32">
        <v>2009</v>
      </c>
    </row>
    <row r="138" spans="1:17" x14ac:dyDescent="0.25">
      <c r="A138" s="1" t="s">
        <v>103</v>
      </c>
      <c r="B138" s="31">
        <v>32.6</v>
      </c>
      <c r="C138" s="1" t="s">
        <v>20</v>
      </c>
      <c r="D138" s="2">
        <v>42705</v>
      </c>
      <c r="E138" s="2">
        <v>42705</v>
      </c>
      <c r="F138" s="17">
        <v>920000</v>
      </c>
      <c r="G138" s="17">
        <v>28220.86</v>
      </c>
      <c r="H138" s="1"/>
      <c r="I138" s="1" t="s">
        <v>21</v>
      </c>
      <c r="J138" s="1" t="s">
        <v>22</v>
      </c>
      <c r="K138" s="1" t="s">
        <v>78</v>
      </c>
      <c r="L138" s="1" t="s">
        <v>76</v>
      </c>
      <c r="M138" s="1"/>
      <c r="N138" s="1"/>
      <c r="O138" s="31">
        <v>4</v>
      </c>
      <c r="P138" s="31">
        <v>2</v>
      </c>
      <c r="Q138" s="32">
        <v>2016</v>
      </c>
    </row>
    <row r="139" spans="1:17" x14ac:dyDescent="0.25">
      <c r="A139" s="1" t="s">
        <v>103</v>
      </c>
      <c r="B139" s="31">
        <v>32.6</v>
      </c>
      <c r="C139" s="1" t="s">
        <v>20</v>
      </c>
      <c r="D139" s="2">
        <v>42705</v>
      </c>
      <c r="E139" s="2">
        <v>42705</v>
      </c>
      <c r="F139" s="17">
        <v>920000</v>
      </c>
      <c r="G139" s="17">
        <v>28220.86</v>
      </c>
      <c r="H139" s="1"/>
      <c r="I139" s="1" t="s">
        <v>21</v>
      </c>
      <c r="J139" s="1" t="s">
        <v>22</v>
      </c>
      <c r="K139" s="1" t="s">
        <v>78</v>
      </c>
      <c r="L139" s="1" t="s">
        <v>76</v>
      </c>
      <c r="M139" s="1"/>
      <c r="N139" s="1"/>
      <c r="O139" s="31">
        <v>4</v>
      </c>
      <c r="P139" s="31">
        <v>2</v>
      </c>
      <c r="Q139" s="32">
        <v>2016</v>
      </c>
    </row>
    <row r="140" spans="1:17" x14ac:dyDescent="0.25">
      <c r="A140" s="1" t="s">
        <v>103</v>
      </c>
      <c r="B140" s="31">
        <v>61.8</v>
      </c>
      <c r="C140" s="1" t="s">
        <v>20</v>
      </c>
      <c r="D140" s="2">
        <v>42795</v>
      </c>
      <c r="E140" s="2">
        <v>42795</v>
      </c>
      <c r="F140" s="17">
        <v>1769000</v>
      </c>
      <c r="G140" s="17">
        <v>28624.6</v>
      </c>
      <c r="H140" s="1"/>
      <c r="I140" s="1" t="s">
        <v>21</v>
      </c>
      <c r="J140" s="1" t="s">
        <v>22</v>
      </c>
      <c r="K140" s="1" t="s">
        <v>78</v>
      </c>
      <c r="L140" s="1" t="s">
        <v>76</v>
      </c>
      <c r="M140" s="1"/>
      <c r="N140" s="1"/>
      <c r="O140" s="31">
        <v>4</v>
      </c>
      <c r="P140" s="31">
        <v>2</v>
      </c>
      <c r="Q140" s="32">
        <v>2017</v>
      </c>
    </row>
    <row r="141" spans="1:17" x14ac:dyDescent="0.25">
      <c r="A141" s="1" t="s">
        <v>103</v>
      </c>
      <c r="B141" s="31">
        <v>61.8</v>
      </c>
      <c r="C141" s="1" t="s">
        <v>20</v>
      </c>
      <c r="D141" s="2">
        <v>42795</v>
      </c>
      <c r="E141" s="2">
        <v>42795</v>
      </c>
      <c r="F141" s="17">
        <v>1769000</v>
      </c>
      <c r="G141" s="17">
        <v>28624.6</v>
      </c>
      <c r="H141" s="1"/>
      <c r="I141" s="1" t="s">
        <v>21</v>
      </c>
      <c r="J141" s="1" t="s">
        <v>22</v>
      </c>
      <c r="K141" s="1" t="s">
        <v>78</v>
      </c>
      <c r="L141" s="1" t="s">
        <v>76</v>
      </c>
      <c r="M141" s="1"/>
      <c r="N141" s="1"/>
      <c r="O141" s="31">
        <v>4</v>
      </c>
      <c r="P141" s="31">
        <v>2</v>
      </c>
      <c r="Q141" s="32">
        <v>2017</v>
      </c>
    </row>
    <row r="142" spans="1:17" x14ac:dyDescent="0.25">
      <c r="A142" s="1" t="s">
        <v>102</v>
      </c>
      <c r="B142" s="31">
        <v>39.9</v>
      </c>
      <c r="C142" s="1" t="s">
        <v>20</v>
      </c>
      <c r="D142" s="2">
        <v>42705</v>
      </c>
      <c r="E142" s="2">
        <v>42705</v>
      </c>
      <c r="F142" s="17">
        <v>1146000</v>
      </c>
      <c r="G142" s="17">
        <v>28721.8</v>
      </c>
      <c r="H142" s="1"/>
      <c r="I142" s="1" t="s">
        <v>21</v>
      </c>
      <c r="J142" s="1" t="s">
        <v>22</v>
      </c>
      <c r="K142" s="1" t="s">
        <v>78</v>
      </c>
      <c r="L142" s="1" t="s">
        <v>76</v>
      </c>
      <c r="M142" s="1"/>
      <c r="N142" s="1"/>
      <c r="O142" s="31">
        <v>2</v>
      </c>
      <c r="P142" s="31">
        <v>1</v>
      </c>
      <c r="Q142" s="32">
        <v>2016</v>
      </c>
    </row>
    <row r="143" spans="1:17" x14ac:dyDescent="0.25">
      <c r="A143" s="1" t="s">
        <v>87</v>
      </c>
      <c r="B143" s="31">
        <v>32.700000000000003</v>
      </c>
      <c r="C143" s="1" t="s">
        <v>20</v>
      </c>
      <c r="D143" s="2">
        <v>42675</v>
      </c>
      <c r="E143" s="2">
        <v>42705</v>
      </c>
      <c r="F143" s="17">
        <v>944000</v>
      </c>
      <c r="G143" s="17">
        <v>28868.5</v>
      </c>
      <c r="H143" s="1"/>
      <c r="I143" s="1" t="s">
        <v>21</v>
      </c>
      <c r="J143" s="1" t="s">
        <v>32</v>
      </c>
      <c r="K143" s="1" t="s">
        <v>78</v>
      </c>
      <c r="L143" s="1" t="s">
        <v>76</v>
      </c>
      <c r="M143" s="1"/>
      <c r="N143" s="1"/>
      <c r="O143" s="31">
        <v>3</v>
      </c>
      <c r="P143" s="31">
        <v>1</v>
      </c>
      <c r="Q143" s="32">
        <v>2001</v>
      </c>
    </row>
    <row r="144" spans="1:17" x14ac:dyDescent="0.25">
      <c r="A144" s="1" t="s">
        <v>89</v>
      </c>
      <c r="B144" s="31">
        <v>27.1</v>
      </c>
      <c r="C144" s="1" t="s">
        <v>20</v>
      </c>
      <c r="D144" s="2">
        <v>42675</v>
      </c>
      <c r="E144" s="2">
        <v>42675</v>
      </c>
      <c r="F144" s="17">
        <v>799592</v>
      </c>
      <c r="G144" s="17">
        <v>29505.24</v>
      </c>
      <c r="H144" s="1"/>
      <c r="I144" s="1" t="s">
        <v>21</v>
      </c>
      <c r="J144" s="1" t="s">
        <v>32</v>
      </c>
      <c r="K144" s="1" t="s">
        <v>78</v>
      </c>
      <c r="L144" s="1" t="s">
        <v>76</v>
      </c>
      <c r="M144" s="1"/>
      <c r="N144" s="1"/>
      <c r="O144" s="31">
        <v>2</v>
      </c>
      <c r="P144" s="31">
        <v>1</v>
      </c>
      <c r="Q144" s="32">
        <v>2015</v>
      </c>
    </row>
    <row r="145" spans="1:17" x14ac:dyDescent="0.25">
      <c r="A145" s="1" t="s">
        <v>103</v>
      </c>
      <c r="B145" s="31">
        <v>59.6</v>
      </c>
      <c r="C145" s="1" t="s">
        <v>20</v>
      </c>
      <c r="D145" s="2">
        <v>42795</v>
      </c>
      <c r="E145" s="2">
        <v>42795</v>
      </c>
      <c r="F145" s="17">
        <v>1790000</v>
      </c>
      <c r="G145" s="17">
        <v>30033.56</v>
      </c>
      <c r="H145" s="1"/>
      <c r="I145" s="1" t="s">
        <v>21</v>
      </c>
      <c r="J145" s="1" t="s">
        <v>32</v>
      </c>
      <c r="K145" s="1" t="s">
        <v>78</v>
      </c>
      <c r="L145" s="1" t="s">
        <v>76</v>
      </c>
      <c r="M145" s="1"/>
      <c r="N145" s="1"/>
      <c r="O145" s="31">
        <v>5</v>
      </c>
      <c r="P145" s="31">
        <v>2</v>
      </c>
      <c r="Q145" s="32">
        <v>2001</v>
      </c>
    </row>
    <row r="146" spans="1:17" x14ac:dyDescent="0.25">
      <c r="A146" s="1" t="s">
        <v>103</v>
      </c>
      <c r="B146" s="31">
        <v>59.6</v>
      </c>
      <c r="C146" s="1" t="s">
        <v>20</v>
      </c>
      <c r="D146" s="2">
        <v>42795</v>
      </c>
      <c r="E146" s="2">
        <v>42795</v>
      </c>
      <c r="F146" s="17">
        <v>1790000</v>
      </c>
      <c r="G146" s="17">
        <v>30033.56</v>
      </c>
      <c r="H146" s="1"/>
      <c r="I146" s="1" t="s">
        <v>21</v>
      </c>
      <c r="J146" s="1" t="s">
        <v>32</v>
      </c>
      <c r="K146" s="1" t="s">
        <v>78</v>
      </c>
      <c r="L146" s="1" t="s">
        <v>76</v>
      </c>
      <c r="M146" s="1"/>
      <c r="N146" s="1"/>
      <c r="O146" s="31">
        <v>5</v>
      </c>
      <c r="P146" s="31">
        <v>2</v>
      </c>
      <c r="Q146" s="32">
        <v>2001</v>
      </c>
    </row>
    <row r="147" spans="1:17" x14ac:dyDescent="0.25">
      <c r="A147" s="1" t="s">
        <v>102</v>
      </c>
      <c r="B147" s="31">
        <v>39</v>
      </c>
      <c r="C147" s="1" t="s">
        <v>20</v>
      </c>
      <c r="D147" s="2">
        <v>42705</v>
      </c>
      <c r="E147" s="2">
        <v>42705</v>
      </c>
      <c r="F147" s="17">
        <v>1181500</v>
      </c>
      <c r="G147" s="17">
        <v>30294.87</v>
      </c>
      <c r="H147" s="1"/>
      <c r="I147" s="1" t="s">
        <v>21</v>
      </c>
      <c r="J147" s="1" t="s">
        <v>22</v>
      </c>
      <c r="K147" s="1" t="s">
        <v>78</v>
      </c>
      <c r="L147" s="1" t="s">
        <v>76</v>
      </c>
      <c r="M147" s="1"/>
      <c r="N147" s="1"/>
      <c r="O147" s="31">
        <v>4</v>
      </c>
      <c r="P147" s="31">
        <v>1</v>
      </c>
      <c r="Q147" s="32">
        <v>2016</v>
      </c>
    </row>
    <row r="148" spans="1:17" x14ac:dyDescent="0.25">
      <c r="A148" s="1" t="s">
        <v>87</v>
      </c>
      <c r="B148" s="31">
        <v>55.6</v>
      </c>
      <c r="C148" s="1" t="s">
        <v>20</v>
      </c>
      <c r="D148" s="2">
        <v>42767</v>
      </c>
      <c r="E148" s="2">
        <v>42767</v>
      </c>
      <c r="F148" s="17">
        <v>1740000</v>
      </c>
      <c r="G148" s="17">
        <v>31294.959999999999</v>
      </c>
      <c r="H148" s="1"/>
      <c r="I148" s="1" t="s">
        <v>21</v>
      </c>
      <c r="J148" s="1" t="s">
        <v>22</v>
      </c>
      <c r="K148" s="1" t="s">
        <v>78</v>
      </c>
      <c r="L148" s="1" t="s">
        <v>76</v>
      </c>
      <c r="M148" s="1"/>
      <c r="N148" s="1" t="s">
        <v>94</v>
      </c>
      <c r="O148" s="31">
        <v>1</v>
      </c>
      <c r="P148" s="31">
        <v>1</v>
      </c>
      <c r="Q148" s="32">
        <v>2015</v>
      </c>
    </row>
    <row r="149" spans="1:17" x14ac:dyDescent="0.25">
      <c r="A149" s="1" t="s">
        <v>87</v>
      </c>
      <c r="B149" s="31">
        <v>36.1</v>
      </c>
      <c r="C149" s="1" t="s">
        <v>20</v>
      </c>
      <c r="D149" s="2">
        <v>42705</v>
      </c>
      <c r="E149" s="2">
        <v>42705</v>
      </c>
      <c r="F149" s="17">
        <v>1200000</v>
      </c>
      <c r="G149" s="17">
        <v>33241</v>
      </c>
      <c r="H149" s="1"/>
      <c r="I149" s="1" t="s">
        <v>21</v>
      </c>
      <c r="J149" s="1" t="s">
        <v>32</v>
      </c>
      <c r="K149" s="1" t="s">
        <v>78</v>
      </c>
      <c r="L149" s="1" t="s">
        <v>76</v>
      </c>
      <c r="M149" s="1"/>
      <c r="N149" s="1"/>
      <c r="O149" s="31">
        <v>1</v>
      </c>
      <c r="P149" s="31">
        <v>2</v>
      </c>
      <c r="Q149" s="32">
        <v>2008</v>
      </c>
    </row>
    <row r="150" spans="1:17" x14ac:dyDescent="0.25">
      <c r="A150" s="1" t="s">
        <v>87</v>
      </c>
      <c r="B150" s="31">
        <v>36.1</v>
      </c>
      <c r="C150" s="1" t="s">
        <v>20</v>
      </c>
      <c r="D150" s="2">
        <v>42705</v>
      </c>
      <c r="E150" s="2">
        <v>42705</v>
      </c>
      <c r="F150" s="17">
        <v>1200000</v>
      </c>
      <c r="G150" s="17">
        <v>33241</v>
      </c>
      <c r="H150" s="1"/>
      <c r="I150" s="1" t="s">
        <v>21</v>
      </c>
      <c r="J150" s="1" t="s">
        <v>32</v>
      </c>
      <c r="K150" s="1" t="s">
        <v>78</v>
      </c>
      <c r="L150" s="1" t="s">
        <v>76</v>
      </c>
      <c r="M150" s="1"/>
      <c r="N150" s="1"/>
      <c r="O150" s="31">
        <v>1</v>
      </c>
      <c r="P150" s="31">
        <v>2</v>
      </c>
      <c r="Q150" s="32">
        <v>2008</v>
      </c>
    </row>
    <row r="151" spans="1:17" x14ac:dyDescent="0.25">
      <c r="A151" s="1" t="s">
        <v>88</v>
      </c>
      <c r="B151" s="31">
        <v>52.7</v>
      </c>
      <c r="C151" s="1" t="s">
        <v>20</v>
      </c>
      <c r="D151" s="2">
        <v>42767</v>
      </c>
      <c r="E151" s="2">
        <v>42795</v>
      </c>
      <c r="F151" s="17">
        <v>1800000</v>
      </c>
      <c r="G151" s="17">
        <v>34155.599999999999</v>
      </c>
      <c r="H151" s="1"/>
      <c r="I151" s="1" t="s">
        <v>21</v>
      </c>
      <c r="J151" s="1" t="s">
        <v>32</v>
      </c>
      <c r="K151" s="1" t="s">
        <v>78</v>
      </c>
      <c r="L151" s="1" t="s">
        <v>76</v>
      </c>
      <c r="M151" s="1"/>
      <c r="N151" s="1" t="s">
        <v>79</v>
      </c>
      <c r="O151" s="31">
        <v>4</v>
      </c>
      <c r="P151" s="31">
        <v>1</v>
      </c>
      <c r="Q151" s="32">
        <v>2010</v>
      </c>
    </row>
    <row r="152" spans="1:17" x14ac:dyDescent="0.25">
      <c r="A152" s="1" t="s">
        <v>93</v>
      </c>
      <c r="B152" s="31">
        <v>55.8</v>
      </c>
      <c r="C152" s="1" t="s">
        <v>20</v>
      </c>
      <c r="D152" s="2">
        <v>42736</v>
      </c>
      <c r="E152" s="2">
        <v>42736</v>
      </c>
      <c r="F152" s="17">
        <v>1950000</v>
      </c>
      <c r="G152" s="17">
        <v>34946.239999999998</v>
      </c>
      <c r="H152" s="1"/>
      <c r="I152" s="1" t="s">
        <v>21</v>
      </c>
      <c r="J152" s="1" t="s">
        <v>32</v>
      </c>
      <c r="K152" s="1" t="s">
        <v>78</v>
      </c>
      <c r="L152" s="1" t="s">
        <v>76</v>
      </c>
      <c r="M152" s="1"/>
      <c r="N152" s="1"/>
      <c r="O152" s="31">
        <v>4</v>
      </c>
      <c r="P152" s="31">
        <v>2</v>
      </c>
      <c r="Q152" s="32">
        <v>2006</v>
      </c>
    </row>
    <row r="153" spans="1:17" x14ac:dyDescent="0.25">
      <c r="A153" s="1" t="s">
        <v>93</v>
      </c>
      <c r="B153" s="31">
        <v>55.8</v>
      </c>
      <c r="C153" s="1" t="s">
        <v>20</v>
      </c>
      <c r="D153" s="2">
        <v>42736</v>
      </c>
      <c r="E153" s="2">
        <v>42736</v>
      </c>
      <c r="F153" s="17">
        <v>1950000</v>
      </c>
      <c r="G153" s="17">
        <v>34946.239999999998</v>
      </c>
      <c r="H153" s="1"/>
      <c r="I153" s="1" t="s">
        <v>21</v>
      </c>
      <c r="J153" s="1" t="s">
        <v>32</v>
      </c>
      <c r="K153" s="1" t="s">
        <v>78</v>
      </c>
      <c r="L153" s="1" t="s">
        <v>76</v>
      </c>
      <c r="M153" s="1"/>
      <c r="N153" s="1"/>
      <c r="O153" s="31">
        <v>4</v>
      </c>
      <c r="P153" s="31">
        <v>2</v>
      </c>
      <c r="Q153" s="32">
        <v>2006</v>
      </c>
    </row>
    <row r="154" spans="1:17" x14ac:dyDescent="0.25">
      <c r="A154" s="1" t="s">
        <v>100</v>
      </c>
      <c r="B154" s="31">
        <v>77.599999999999994</v>
      </c>
      <c r="C154" s="1" t="s">
        <v>20</v>
      </c>
      <c r="D154" s="2">
        <v>42705</v>
      </c>
      <c r="E154" s="2">
        <v>42705</v>
      </c>
      <c r="F154" s="17">
        <v>2794000</v>
      </c>
      <c r="G154" s="17">
        <v>36005.15</v>
      </c>
      <c r="H154" s="1"/>
      <c r="I154" s="1" t="s">
        <v>21</v>
      </c>
      <c r="J154" s="1" t="s">
        <v>64</v>
      </c>
      <c r="K154" s="1" t="s">
        <v>78</v>
      </c>
      <c r="L154" s="1" t="s">
        <v>76</v>
      </c>
      <c r="M154" s="1"/>
      <c r="N154" s="1" t="s">
        <v>79</v>
      </c>
      <c r="O154" s="31">
        <v>1</v>
      </c>
      <c r="P154" s="31">
        <v>1</v>
      </c>
      <c r="Q154" s="32">
        <v>2001</v>
      </c>
    </row>
    <row r="155" spans="1:17" s="9" customFormat="1" ht="15.75" thickBot="1" x14ac:dyDescent="0.3">
      <c r="A155" s="25"/>
      <c r="B155" s="33"/>
      <c r="C155" s="25"/>
      <c r="D155" s="25"/>
      <c r="E155" s="25"/>
      <c r="F155" s="26"/>
      <c r="G155" s="26">
        <f>SUM(G68:G154)/87</f>
        <v>22471.838735632187</v>
      </c>
      <c r="H155" s="25"/>
      <c r="I155" s="25"/>
      <c r="J155" s="25"/>
      <c r="K155" s="25"/>
      <c r="L155" s="25"/>
      <c r="M155" s="25"/>
      <c r="N155" s="25"/>
      <c r="O155" s="33"/>
      <c r="P155" s="33"/>
      <c r="Q155" s="34"/>
    </row>
    <row r="156" spans="1:17" s="6" customFormat="1" x14ac:dyDescent="0.25">
      <c r="A156" s="4" t="s">
        <v>111</v>
      </c>
      <c r="B156" s="35"/>
      <c r="C156" s="5"/>
      <c r="D156" s="5"/>
      <c r="E156" s="5"/>
      <c r="F156" s="19"/>
      <c r="G156" s="19"/>
      <c r="H156" s="5"/>
      <c r="I156" s="5"/>
      <c r="J156" s="5"/>
      <c r="K156" s="5"/>
      <c r="L156" s="5"/>
      <c r="M156" s="5"/>
      <c r="N156" s="5"/>
      <c r="O156" s="35"/>
      <c r="P156" s="35"/>
      <c r="Q156" s="36"/>
    </row>
    <row r="157" spans="1:17" x14ac:dyDescent="0.25">
      <c r="A157" s="1" t="s">
        <v>119</v>
      </c>
      <c r="B157" s="31">
        <v>62.6</v>
      </c>
      <c r="C157" s="1" t="s">
        <v>20</v>
      </c>
      <c r="D157" s="2">
        <v>42675</v>
      </c>
      <c r="E157" s="2">
        <v>42675</v>
      </c>
      <c r="F157" s="17">
        <v>1200000</v>
      </c>
      <c r="G157" s="17">
        <v>19169.330000000002</v>
      </c>
      <c r="H157" s="1"/>
      <c r="I157" s="1" t="s">
        <v>21</v>
      </c>
      <c r="J157" s="1" t="s">
        <v>22</v>
      </c>
      <c r="K157" s="1" t="s">
        <v>113</v>
      </c>
      <c r="L157" s="1"/>
      <c r="M157" s="1" t="s">
        <v>111</v>
      </c>
      <c r="N157" s="1" t="s">
        <v>120</v>
      </c>
      <c r="O157" s="31">
        <v>1</v>
      </c>
      <c r="P157" s="31">
        <v>1</v>
      </c>
      <c r="Q157" s="32">
        <v>2008</v>
      </c>
    </row>
    <row r="158" spans="1:17" x14ac:dyDescent="0.25">
      <c r="A158" s="1" t="s">
        <v>117</v>
      </c>
      <c r="B158" s="31">
        <v>59.7</v>
      </c>
      <c r="C158" s="1" t="s">
        <v>20</v>
      </c>
      <c r="D158" s="2">
        <v>42644</v>
      </c>
      <c r="E158" s="2">
        <v>42675</v>
      </c>
      <c r="F158" s="17">
        <v>1146974</v>
      </c>
      <c r="G158" s="17">
        <v>19212.29</v>
      </c>
      <c r="H158" s="1"/>
      <c r="I158" s="1" t="s">
        <v>21</v>
      </c>
      <c r="J158" s="1" t="s">
        <v>22</v>
      </c>
      <c r="K158" s="1" t="s">
        <v>113</v>
      </c>
      <c r="L158" s="1"/>
      <c r="M158" s="1" t="s">
        <v>111</v>
      </c>
      <c r="N158" s="1" t="s">
        <v>118</v>
      </c>
      <c r="O158" s="31">
        <v>1</v>
      </c>
      <c r="P158" s="31">
        <v>1</v>
      </c>
      <c r="Q158" s="32">
        <v>2010</v>
      </c>
    </row>
    <row r="159" spans="1:17" x14ac:dyDescent="0.25">
      <c r="A159" s="1" t="s">
        <v>121</v>
      </c>
      <c r="B159" s="31">
        <v>84.8</v>
      </c>
      <c r="C159" s="1" t="s">
        <v>20</v>
      </c>
      <c r="D159" s="2">
        <v>42705</v>
      </c>
      <c r="E159" s="2">
        <v>42705</v>
      </c>
      <c r="F159" s="17">
        <v>1700000</v>
      </c>
      <c r="G159" s="17">
        <v>20047.169999999998</v>
      </c>
      <c r="H159" s="1"/>
      <c r="I159" s="1" t="s">
        <v>21</v>
      </c>
      <c r="J159" s="1" t="s">
        <v>22</v>
      </c>
      <c r="K159" s="1" t="s">
        <v>113</v>
      </c>
      <c r="L159" s="1"/>
      <c r="M159" s="1" t="s">
        <v>111</v>
      </c>
      <c r="N159" s="1" t="s">
        <v>122</v>
      </c>
      <c r="O159" s="31">
        <v>1</v>
      </c>
      <c r="P159" s="31">
        <v>1</v>
      </c>
      <c r="Q159" s="32">
        <v>2010</v>
      </c>
    </row>
    <row r="160" spans="1:17" x14ac:dyDescent="0.25">
      <c r="A160" s="1" t="s">
        <v>115</v>
      </c>
      <c r="B160" s="31">
        <v>29.7</v>
      </c>
      <c r="C160" s="1" t="s">
        <v>20</v>
      </c>
      <c r="D160" s="2">
        <v>42644</v>
      </c>
      <c r="E160" s="2">
        <v>42767</v>
      </c>
      <c r="F160" s="17">
        <v>660250</v>
      </c>
      <c r="G160" s="17">
        <v>22230.639999999999</v>
      </c>
      <c r="H160" s="1"/>
      <c r="I160" s="1" t="s">
        <v>21</v>
      </c>
      <c r="J160" s="1" t="s">
        <v>18</v>
      </c>
      <c r="K160" s="1" t="s">
        <v>113</v>
      </c>
      <c r="L160" s="1"/>
      <c r="M160" s="1" t="s">
        <v>111</v>
      </c>
      <c r="N160" s="1" t="s">
        <v>116</v>
      </c>
      <c r="O160" s="31">
        <v>1</v>
      </c>
      <c r="P160" s="31">
        <v>1</v>
      </c>
      <c r="Q160" s="32">
        <v>2016</v>
      </c>
    </row>
    <row r="161" spans="1:17" x14ac:dyDescent="0.25">
      <c r="A161" s="1" t="s">
        <v>115</v>
      </c>
      <c r="B161" s="31">
        <v>58.4</v>
      </c>
      <c r="C161" s="1" t="s">
        <v>20</v>
      </c>
      <c r="D161" s="2">
        <v>42736</v>
      </c>
      <c r="E161" s="2">
        <v>42767</v>
      </c>
      <c r="F161" s="17">
        <v>1342000</v>
      </c>
      <c r="G161" s="17">
        <v>22979.45</v>
      </c>
      <c r="H161" s="1"/>
      <c r="I161" s="1" t="s">
        <v>21</v>
      </c>
      <c r="J161" s="1" t="s">
        <v>18</v>
      </c>
      <c r="K161" s="1" t="s">
        <v>113</v>
      </c>
      <c r="L161" s="1"/>
      <c r="M161" s="1" t="s">
        <v>111</v>
      </c>
      <c r="N161" s="1" t="s">
        <v>116</v>
      </c>
      <c r="O161" s="31">
        <v>1</v>
      </c>
      <c r="P161" s="31">
        <v>1</v>
      </c>
      <c r="Q161" s="32">
        <v>2016</v>
      </c>
    </row>
    <row r="162" spans="1:17" x14ac:dyDescent="0.25">
      <c r="A162" s="1" t="s">
        <v>115</v>
      </c>
      <c r="B162" s="31">
        <v>31.7</v>
      </c>
      <c r="C162" s="1" t="s">
        <v>20</v>
      </c>
      <c r="D162" s="2">
        <v>42644</v>
      </c>
      <c r="E162" s="2">
        <v>42644</v>
      </c>
      <c r="F162" s="17">
        <v>730400</v>
      </c>
      <c r="G162" s="17">
        <v>23041.01</v>
      </c>
      <c r="H162" s="1"/>
      <c r="I162" s="1" t="s">
        <v>21</v>
      </c>
      <c r="J162" s="1" t="s">
        <v>18</v>
      </c>
      <c r="K162" s="1" t="s">
        <v>113</v>
      </c>
      <c r="L162" s="1"/>
      <c r="M162" s="1" t="s">
        <v>111</v>
      </c>
      <c r="N162" s="1" t="s">
        <v>116</v>
      </c>
      <c r="O162" s="31">
        <v>3</v>
      </c>
      <c r="P162" s="31">
        <v>1</v>
      </c>
      <c r="Q162" s="32">
        <v>2016</v>
      </c>
    </row>
    <row r="163" spans="1:17" x14ac:dyDescent="0.25">
      <c r="A163" s="1" t="s">
        <v>115</v>
      </c>
      <c r="B163" s="31">
        <v>33</v>
      </c>
      <c r="C163" s="1" t="s">
        <v>20</v>
      </c>
      <c r="D163" s="2">
        <v>42705</v>
      </c>
      <c r="E163" s="2">
        <v>42705</v>
      </c>
      <c r="F163" s="17">
        <v>761200</v>
      </c>
      <c r="G163" s="17">
        <v>23066.67</v>
      </c>
      <c r="H163" s="1"/>
      <c r="I163" s="1" t="s">
        <v>21</v>
      </c>
      <c r="J163" s="1" t="s">
        <v>18</v>
      </c>
      <c r="K163" s="1" t="s">
        <v>113</v>
      </c>
      <c r="L163" s="1"/>
      <c r="M163" s="1" t="s">
        <v>111</v>
      </c>
      <c r="N163" s="1" t="s">
        <v>116</v>
      </c>
      <c r="O163" s="31">
        <v>3</v>
      </c>
      <c r="P163" s="31">
        <v>2</v>
      </c>
      <c r="Q163" s="32">
        <v>2016</v>
      </c>
    </row>
    <row r="164" spans="1:17" x14ac:dyDescent="0.25">
      <c r="A164" s="1" t="s">
        <v>115</v>
      </c>
      <c r="B164" s="31">
        <v>33</v>
      </c>
      <c r="C164" s="1" t="s">
        <v>20</v>
      </c>
      <c r="D164" s="2">
        <v>42705</v>
      </c>
      <c r="E164" s="2">
        <v>42705</v>
      </c>
      <c r="F164" s="17">
        <v>761200</v>
      </c>
      <c r="G164" s="17">
        <v>23066.67</v>
      </c>
      <c r="H164" s="1"/>
      <c r="I164" s="1" t="s">
        <v>21</v>
      </c>
      <c r="J164" s="1" t="s">
        <v>18</v>
      </c>
      <c r="K164" s="1" t="s">
        <v>113</v>
      </c>
      <c r="L164" s="1"/>
      <c r="M164" s="1" t="s">
        <v>111</v>
      </c>
      <c r="N164" s="1" t="s">
        <v>116</v>
      </c>
      <c r="O164" s="31">
        <v>3</v>
      </c>
      <c r="P164" s="31">
        <v>2</v>
      </c>
      <c r="Q164" s="32">
        <v>2016</v>
      </c>
    </row>
    <row r="165" spans="1:17" x14ac:dyDescent="0.25">
      <c r="A165" s="1" t="s">
        <v>115</v>
      </c>
      <c r="B165" s="31">
        <v>57.5</v>
      </c>
      <c r="C165" s="1" t="s">
        <v>20</v>
      </c>
      <c r="D165" s="2">
        <v>42675</v>
      </c>
      <c r="E165" s="2">
        <v>42705</v>
      </c>
      <c r="F165" s="17">
        <v>1658250</v>
      </c>
      <c r="G165" s="17">
        <v>28839.13</v>
      </c>
      <c r="H165" s="1"/>
      <c r="I165" s="1" t="s">
        <v>21</v>
      </c>
      <c r="J165" s="1" t="s">
        <v>18</v>
      </c>
      <c r="K165" s="1" t="s">
        <v>113</v>
      </c>
      <c r="L165" s="1"/>
      <c r="M165" s="1" t="s">
        <v>111</v>
      </c>
      <c r="N165" s="1" t="s">
        <v>116</v>
      </c>
      <c r="O165" s="31">
        <v>3</v>
      </c>
      <c r="P165" s="31">
        <v>1</v>
      </c>
      <c r="Q165" s="32">
        <v>2016</v>
      </c>
    </row>
    <row r="166" spans="1:17" x14ac:dyDescent="0.25">
      <c r="A166" s="1" t="s">
        <v>112</v>
      </c>
      <c r="B166" s="31">
        <v>14.6</v>
      </c>
      <c r="C166" s="1" t="s">
        <v>20</v>
      </c>
      <c r="D166" s="2">
        <v>42614</v>
      </c>
      <c r="E166" s="2">
        <v>42644</v>
      </c>
      <c r="F166" s="17">
        <v>434000</v>
      </c>
      <c r="G166" s="17">
        <v>29726.03</v>
      </c>
      <c r="H166" s="1"/>
      <c r="I166" s="1" t="s">
        <v>21</v>
      </c>
      <c r="J166" s="1" t="s">
        <v>22</v>
      </c>
      <c r="K166" s="1" t="s">
        <v>113</v>
      </c>
      <c r="L166" s="1"/>
      <c r="M166" s="1" t="s">
        <v>111</v>
      </c>
      <c r="N166" s="1" t="s">
        <v>114</v>
      </c>
      <c r="O166" s="31">
        <v>1</v>
      </c>
      <c r="P166" s="31">
        <v>1</v>
      </c>
      <c r="Q166" s="32">
        <v>2006</v>
      </c>
    </row>
    <row r="167" spans="1:17" s="9" customFormat="1" ht="15.75" thickBot="1" x14ac:dyDescent="0.3">
      <c r="A167" s="25"/>
      <c r="B167" s="33"/>
      <c r="C167" s="25"/>
      <c r="D167" s="25"/>
      <c r="E167" s="25"/>
      <c r="F167" s="26"/>
      <c r="G167" s="26">
        <f>SUM(G157:G166)/10</f>
        <v>23137.839</v>
      </c>
      <c r="H167" s="25"/>
      <c r="I167" s="25"/>
      <c r="J167" s="25"/>
      <c r="K167" s="25"/>
      <c r="L167" s="25"/>
      <c r="M167" s="25"/>
      <c r="N167" s="25"/>
      <c r="O167" s="33"/>
      <c r="P167" s="33"/>
      <c r="Q167" s="34"/>
    </row>
    <row r="168" spans="1:17" s="6" customFormat="1" x14ac:dyDescent="0.25">
      <c r="A168" s="4" t="s">
        <v>123</v>
      </c>
      <c r="B168" s="35"/>
      <c r="C168" s="5"/>
      <c r="D168" s="5"/>
      <c r="E168" s="5"/>
      <c r="F168" s="19"/>
      <c r="G168" s="19"/>
      <c r="H168" s="5"/>
      <c r="I168" s="5"/>
      <c r="J168" s="5"/>
      <c r="K168" s="5"/>
      <c r="L168" s="5"/>
      <c r="M168" s="5"/>
      <c r="N168" s="5"/>
      <c r="O168" s="35"/>
      <c r="P168" s="35"/>
      <c r="Q168" s="36"/>
    </row>
    <row r="169" spans="1:17" x14ac:dyDescent="0.25">
      <c r="A169" s="1" t="s">
        <v>124</v>
      </c>
      <c r="B169" s="31">
        <v>35.5</v>
      </c>
      <c r="C169" s="1" t="s">
        <v>20</v>
      </c>
      <c r="D169" s="2">
        <v>42644</v>
      </c>
      <c r="E169" s="2">
        <v>42644</v>
      </c>
      <c r="F169" s="17">
        <v>453026</v>
      </c>
      <c r="G169" s="17">
        <v>12761.3</v>
      </c>
      <c r="H169" s="1"/>
      <c r="I169" s="1" t="s">
        <v>21</v>
      </c>
      <c r="J169" s="1" t="s">
        <v>32</v>
      </c>
      <c r="K169" s="1" t="s">
        <v>125</v>
      </c>
      <c r="L169" s="1"/>
      <c r="M169" s="1" t="s">
        <v>123</v>
      </c>
      <c r="N169" s="1" t="s">
        <v>126</v>
      </c>
      <c r="O169" s="31">
        <v>1</v>
      </c>
      <c r="P169" s="31">
        <v>1</v>
      </c>
      <c r="Q169" s="32">
        <v>2007</v>
      </c>
    </row>
    <row r="170" spans="1:17" x14ac:dyDescent="0.25">
      <c r="A170" s="1" t="s">
        <v>131</v>
      </c>
      <c r="B170" s="31">
        <v>50.6</v>
      </c>
      <c r="C170" s="1" t="s">
        <v>20</v>
      </c>
      <c r="D170" s="2">
        <v>42705</v>
      </c>
      <c r="E170" s="2">
        <v>42705</v>
      </c>
      <c r="F170" s="17">
        <v>1000000</v>
      </c>
      <c r="G170" s="17">
        <v>19762.849999999999</v>
      </c>
      <c r="H170" s="1"/>
      <c r="I170" s="1" t="s">
        <v>21</v>
      </c>
      <c r="J170" s="1" t="s">
        <v>22</v>
      </c>
      <c r="K170" s="1" t="s">
        <v>125</v>
      </c>
      <c r="L170" s="1"/>
      <c r="M170" s="1" t="s">
        <v>123</v>
      </c>
      <c r="N170" s="1" t="s">
        <v>132</v>
      </c>
      <c r="O170" s="31">
        <v>1</v>
      </c>
      <c r="P170" s="31">
        <v>1</v>
      </c>
      <c r="Q170" s="32">
        <v>2007</v>
      </c>
    </row>
    <row r="171" spans="1:17" x14ac:dyDescent="0.25">
      <c r="A171" s="1" t="s">
        <v>134</v>
      </c>
      <c r="B171" s="31">
        <v>21.2</v>
      </c>
      <c r="C171" s="1" t="s">
        <v>20</v>
      </c>
      <c r="D171" s="2">
        <v>42767</v>
      </c>
      <c r="E171" s="2">
        <v>42767</v>
      </c>
      <c r="F171" s="17">
        <v>453026</v>
      </c>
      <c r="G171" s="17">
        <v>21369.15</v>
      </c>
      <c r="H171" s="1"/>
      <c r="I171" s="1" t="s">
        <v>21</v>
      </c>
      <c r="J171" s="1" t="s">
        <v>22</v>
      </c>
      <c r="K171" s="1" t="s">
        <v>125</v>
      </c>
      <c r="L171" s="1"/>
      <c r="M171" s="1" t="s">
        <v>123</v>
      </c>
      <c r="N171" s="1" t="s">
        <v>128</v>
      </c>
      <c r="O171" s="31">
        <v>1</v>
      </c>
      <c r="P171" s="31">
        <v>1</v>
      </c>
      <c r="Q171" s="32">
        <v>2010</v>
      </c>
    </row>
    <row r="172" spans="1:17" x14ac:dyDescent="0.25">
      <c r="A172" s="1" t="s">
        <v>127</v>
      </c>
      <c r="B172" s="31">
        <v>50.7</v>
      </c>
      <c r="C172" s="1" t="s">
        <v>20</v>
      </c>
      <c r="D172" s="2">
        <v>42705</v>
      </c>
      <c r="E172" s="2">
        <v>42705</v>
      </c>
      <c r="F172" s="17">
        <v>1440000</v>
      </c>
      <c r="G172" s="17">
        <v>28402.37</v>
      </c>
      <c r="H172" s="1"/>
      <c r="I172" s="1" t="s">
        <v>21</v>
      </c>
      <c r="J172" s="1" t="s">
        <v>22</v>
      </c>
      <c r="K172" s="1" t="s">
        <v>125</v>
      </c>
      <c r="L172" s="1"/>
      <c r="M172" s="1" t="s">
        <v>123</v>
      </c>
      <c r="N172" s="1" t="s">
        <v>133</v>
      </c>
      <c r="O172" s="31">
        <v>1</v>
      </c>
      <c r="P172" s="31">
        <v>2</v>
      </c>
      <c r="Q172" s="32">
        <v>2006</v>
      </c>
    </row>
    <row r="173" spans="1:17" x14ac:dyDescent="0.25">
      <c r="A173" s="1" t="s">
        <v>127</v>
      </c>
      <c r="B173" s="31">
        <v>50.7</v>
      </c>
      <c r="C173" s="1" t="s">
        <v>20</v>
      </c>
      <c r="D173" s="2">
        <v>42705</v>
      </c>
      <c r="E173" s="2">
        <v>42705</v>
      </c>
      <c r="F173" s="17">
        <v>1440000</v>
      </c>
      <c r="G173" s="17">
        <v>28402.37</v>
      </c>
      <c r="H173" s="1"/>
      <c r="I173" s="1" t="s">
        <v>21</v>
      </c>
      <c r="J173" s="1" t="s">
        <v>22</v>
      </c>
      <c r="K173" s="1" t="s">
        <v>125</v>
      </c>
      <c r="L173" s="1"/>
      <c r="M173" s="1" t="s">
        <v>123</v>
      </c>
      <c r="N173" s="1" t="s">
        <v>133</v>
      </c>
      <c r="O173" s="31">
        <v>1</v>
      </c>
      <c r="P173" s="31">
        <v>2</v>
      </c>
      <c r="Q173" s="32">
        <v>2006</v>
      </c>
    </row>
    <row r="174" spans="1:17" x14ac:dyDescent="0.25">
      <c r="A174" s="1" t="s">
        <v>129</v>
      </c>
      <c r="B174" s="31">
        <v>41.5</v>
      </c>
      <c r="C174" s="1" t="s">
        <v>20</v>
      </c>
      <c r="D174" s="2">
        <v>42705</v>
      </c>
      <c r="E174" s="2">
        <v>42705</v>
      </c>
      <c r="F174" s="17">
        <v>1287828</v>
      </c>
      <c r="G174" s="17">
        <v>31032</v>
      </c>
      <c r="H174" s="1"/>
      <c r="I174" s="1" t="s">
        <v>21</v>
      </c>
      <c r="J174" s="1" t="s">
        <v>22</v>
      </c>
      <c r="K174" s="1" t="s">
        <v>125</v>
      </c>
      <c r="L174" s="1"/>
      <c r="M174" s="1" t="s">
        <v>123</v>
      </c>
      <c r="N174" s="1" t="s">
        <v>130</v>
      </c>
      <c r="O174" s="31">
        <v>2</v>
      </c>
      <c r="P174" s="31">
        <v>1</v>
      </c>
      <c r="Q174" s="32">
        <v>2003</v>
      </c>
    </row>
    <row r="175" spans="1:17" s="9" customFormat="1" ht="15.75" thickBot="1" x14ac:dyDescent="0.3">
      <c r="A175" s="25"/>
      <c r="B175" s="33"/>
      <c r="C175" s="25"/>
      <c r="D175" s="25"/>
      <c r="E175" s="25"/>
      <c r="F175" s="26"/>
      <c r="G175" s="26">
        <f>SUM(G169:G174)/6</f>
        <v>23621.673333333329</v>
      </c>
      <c r="H175" s="25"/>
      <c r="I175" s="25"/>
      <c r="J175" s="25"/>
      <c r="K175" s="25"/>
      <c r="L175" s="25"/>
      <c r="M175" s="25"/>
      <c r="N175" s="25"/>
      <c r="O175" s="33"/>
      <c r="P175" s="33"/>
      <c r="Q175" s="34"/>
    </row>
    <row r="176" spans="1:17" s="6" customFormat="1" x14ac:dyDescent="0.25">
      <c r="A176" s="4" t="s">
        <v>135</v>
      </c>
      <c r="B176" s="35"/>
      <c r="C176" s="5"/>
      <c r="D176" s="5"/>
      <c r="E176" s="5"/>
      <c r="F176" s="19"/>
      <c r="G176" s="19"/>
      <c r="H176" s="5"/>
      <c r="I176" s="5"/>
      <c r="J176" s="5"/>
      <c r="K176" s="5"/>
      <c r="L176" s="5"/>
      <c r="M176" s="5"/>
      <c r="N176" s="5"/>
      <c r="O176" s="35"/>
      <c r="P176" s="35"/>
      <c r="Q176" s="36"/>
    </row>
    <row r="177" spans="1:17" x14ac:dyDescent="0.25">
      <c r="A177" s="1" t="s">
        <v>141</v>
      </c>
      <c r="B177" s="31">
        <v>32.700000000000003</v>
      </c>
      <c r="C177" s="1" t="s">
        <v>20</v>
      </c>
      <c r="D177" s="2">
        <v>42705</v>
      </c>
      <c r="E177" s="2">
        <v>42705</v>
      </c>
      <c r="F177" s="17">
        <v>800000</v>
      </c>
      <c r="G177" s="17">
        <v>24464.83</v>
      </c>
      <c r="H177" s="1"/>
      <c r="I177" s="1" t="s">
        <v>21</v>
      </c>
      <c r="J177" s="1" t="s">
        <v>22</v>
      </c>
      <c r="K177" s="1" t="s">
        <v>137</v>
      </c>
      <c r="L177" s="1" t="s">
        <v>135</v>
      </c>
      <c r="M177" s="1"/>
      <c r="N177" s="1" t="s">
        <v>142</v>
      </c>
      <c r="O177" s="31">
        <v>3</v>
      </c>
      <c r="P177" s="31">
        <v>1</v>
      </c>
      <c r="Q177" s="32">
        <v>2014</v>
      </c>
    </row>
    <row r="178" spans="1:17" x14ac:dyDescent="0.25">
      <c r="A178" s="1" t="s">
        <v>136</v>
      </c>
      <c r="B178" s="31">
        <v>53.6</v>
      </c>
      <c r="C178" s="1" t="s">
        <v>20</v>
      </c>
      <c r="D178" s="2">
        <v>42705</v>
      </c>
      <c r="E178" s="2">
        <v>42705</v>
      </c>
      <c r="F178" s="17">
        <v>1320000</v>
      </c>
      <c r="G178" s="17">
        <v>24626.87</v>
      </c>
      <c r="H178" s="1"/>
      <c r="I178" s="1" t="s">
        <v>21</v>
      </c>
      <c r="J178" s="1" t="s">
        <v>22</v>
      </c>
      <c r="K178" s="1" t="s">
        <v>137</v>
      </c>
      <c r="L178" s="1" t="s">
        <v>135</v>
      </c>
      <c r="M178" s="1"/>
      <c r="N178" s="1" t="s">
        <v>49</v>
      </c>
      <c r="O178" s="31">
        <v>3</v>
      </c>
      <c r="P178" s="31">
        <v>2</v>
      </c>
      <c r="Q178" s="32">
        <v>2009</v>
      </c>
    </row>
    <row r="179" spans="1:17" x14ac:dyDescent="0.25">
      <c r="A179" s="1" t="s">
        <v>136</v>
      </c>
      <c r="B179" s="31">
        <v>53.6</v>
      </c>
      <c r="C179" s="1" t="s">
        <v>20</v>
      </c>
      <c r="D179" s="2">
        <v>42705</v>
      </c>
      <c r="E179" s="2">
        <v>42705</v>
      </c>
      <c r="F179" s="17">
        <v>1320000</v>
      </c>
      <c r="G179" s="17">
        <v>24626.87</v>
      </c>
      <c r="H179" s="1"/>
      <c r="I179" s="1" t="s">
        <v>21</v>
      </c>
      <c r="J179" s="1" t="s">
        <v>22</v>
      </c>
      <c r="K179" s="1" t="s">
        <v>137</v>
      </c>
      <c r="L179" s="1" t="s">
        <v>135</v>
      </c>
      <c r="M179" s="1"/>
      <c r="N179" s="1" t="s">
        <v>49</v>
      </c>
      <c r="O179" s="31">
        <v>3</v>
      </c>
      <c r="P179" s="31">
        <v>2</v>
      </c>
      <c r="Q179" s="32">
        <v>2009</v>
      </c>
    </row>
    <row r="180" spans="1:17" x14ac:dyDescent="0.25">
      <c r="A180" s="1" t="s">
        <v>136</v>
      </c>
      <c r="B180" s="31">
        <v>34.799999999999997</v>
      </c>
      <c r="C180" s="1" t="s">
        <v>20</v>
      </c>
      <c r="D180" s="2">
        <v>42795</v>
      </c>
      <c r="E180" s="2">
        <v>42795</v>
      </c>
      <c r="F180" s="17">
        <v>880000</v>
      </c>
      <c r="G180" s="17">
        <v>25287.360000000001</v>
      </c>
      <c r="H180" s="1"/>
      <c r="I180" s="1" t="s">
        <v>21</v>
      </c>
      <c r="J180" s="1" t="s">
        <v>22</v>
      </c>
      <c r="K180" s="1" t="s">
        <v>137</v>
      </c>
      <c r="L180" s="1" t="s">
        <v>135</v>
      </c>
      <c r="M180" s="1"/>
      <c r="N180" s="1" t="s">
        <v>49</v>
      </c>
      <c r="O180" s="31">
        <v>2</v>
      </c>
      <c r="P180" s="31">
        <v>1</v>
      </c>
      <c r="Q180" s="32">
        <v>2000</v>
      </c>
    </row>
    <row r="181" spans="1:17" x14ac:dyDescent="0.25">
      <c r="A181" s="1" t="s">
        <v>140</v>
      </c>
      <c r="B181" s="31">
        <v>59</v>
      </c>
      <c r="C181" s="1" t="s">
        <v>20</v>
      </c>
      <c r="D181" s="2">
        <v>42705</v>
      </c>
      <c r="E181" s="2">
        <v>42705</v>
      </c>
      <c r="F181" s="17">
        <v>1500000</v>
      </c>
      <c r="G181" s="17">
        <v>25423.73</v>
      </c>
      <c r="H181" s="1"/>
      <c r="I181" s="1" t="s">
        <v>21</v>
      </c>
      <c r="J181" s="1" t="s">
        <v>22</v>
      </c>
      <c r="K181" s="1" t="s">
        <v>137</v>
      </c>
      <c r="L181" s="1" t="s">
        <v>135</v>
      </c>
      <c r="M181" s="1"/>
      <c r="N181" s="1" t="s">
        <v>149</v>
      </c>
      <c r="O181" s="31">
        <v>4</v>
      </c>
      <c r="P181" s="31">
        <v>2</v>
      </c>
      <c r="Q181" s="32">
        <v>2004</v>
      </c>
    </row>
    <row r="182" spans="1:17" x14ac:dyDescent="0.25">
      <c r="A182" s="1" t="s">
        <v>140</v>
      </c>
      <c r="B182" s="31">
        <v>59</v>
      </c>
      <c r="C182" s="1" t="s">
        <v>20</v>
      </c>
      <c r="D182" s="2">
        <v>42705</v>
      </c>
      <c r="E182" s="2">
        <v>42705</v>
      </c>
      <c r="F182" s="17">
        <v>1500000</v>
      </c>
      <c r="G182" s="17">
        <v>25423.73</v>
      </c>
      <c r="H182" s="1"/>
      <c r="I182" s="1" t="s">
        <v>21</v>
      </c>
      <c r="J182" s="1" t="s">
        <v>22</v>
      </c>
      <c r="K182" s="1" t="s">
        <v>137</v>
      </c>
      <c r="L182" s="1" t="s">
        <v>135</v>
      </c>
      <c r="M182" s="1"/>
      <c r="N182" s="1" t="s">
        <v>149</v>
      </c>
      <c r="O182" s="31">
        <v>4</v>
      </c>
      <c r="P182" s="31">
        <v>2</v>
      </c>
      <c r="Q182" s="32">
        <v>2004</v>
      </c>
    </row>
    <row r="183" spans="1:17" x14ac:dyDescent="0.25">
      <c r="A183" s="1" t="s">
        <v>141</v>
      </c>
      <c r="B183" s="31">
        <v>31.6</v>
      </c>
      <c r="C183" s="1" t="s">
        <v>20</v>
      </c>
      <c r="D183" s="2">
        <v>42675</v>
      </c>
      <c r="E183" s="2">
        <v>42675</v>
      </c>
      <c r="F183" s="17">
        <v>805000</v>
      </c>
      <c r="G183" s="17">
        <v>25474.68</v>
      </c>
      <c r="H183" s="1"/>
      <c r="I183" s="1" t="s">
        <v>21</v>
      </c>
      <c r="J183" s="1" t="s">
        <v>22</v>
      </c>
      <c r="K183" s="1" t="s">
        <v>137</v>
      </c>
      <c r="L183" s="1" t="s">
        <v>135</v>
      </c>
      <c r="M183" s="1"/>
      <c r="N183" s="1" t="s">
        <v>145</v>
      </c>
      <c r="O183" s="31">
        <v>4</v>
      </c>
      <c r="P183" s="31">
        <v>1</v>
      </c>
      <c r="Q183" s="32">
        <v>2003</v>
      </c>
    </row>
    <row r="184" spans="1:17" x14ac:dyDescent="0.25">
      <c r="A184" s="1" t="s">
        <v>141</v>
      </c>
      <c r="B184" s="31">
        <v>24.9</v>
      </c>
      <c r="C184" s="1" t="s">
        <v>20</v>
      </c>
      <c r="D184" s="2">
        <v>42705</v>
      </c>
      <c r="E184" s="2">
        <v>42705</v>
      </c>
      <c r="F184" s="17">
        <v>640000</v>
      </c>
      <c r="G184" s="17">
        <v>25702.81</v>
      </c>
      <c r="H184" s="1"/>
      <c r="I184" s="1" t="s">
        <v>21</v>
      </c>
      <c r="J184" s="1" t="s">
        <v>22</v>
      </c>
      <c r="K184" s="1" t="s">
        <v>137</v>
      </c>
      <c r="L184" s="1" t="s">
        <v>135</v>
      </c>
      <c r="M184" s="1"/>
      <c r="N184" s="1" t="s">
        <v>128</v>
      </c>
      <c r="O184" s="31">
        <v>6</v>
      </c>
      <c r="P184" s="31">
        <v>2</v>
      </c>
      <c r="Q184" s="32">
        <v>2009</v>
      </c>
    </row>
    <row r="185" spans="1:17" x14ac:dyDescent="0.25">
      <c r="A185" s="1" t="s">
        <v>141</v>
      </c>
      <c r="B185" s="31">
        <v>24.9</v>
      </c>
      <c r="C185" s="1" t="s">
        <v>20</v>
      </c>
      <c r="D185" s="2">
        <v>42705</v>
      </c>
      <c r="E185" s="2">
        <v>42705</v>
      </c>
      <c r="F185" s="17">
        <v>640000</v>
      </c>
      <c r="G185" s="17">
        <v>25702.81</v>
      </c>
      <c r="H185" s="1"/>
      <c r="I185" s="1" t="s">
        <v>21</v>
      </c>
      <c r="J185" s="1" t="s">
        <v>22</v>
      </c>
      <c r="K185" s="1" t="s">
        <v>137</v>
      </c>
      <c r="L185" s="1" t="s">
        <v>135</v>
      </c>
      <c r="M185" s="1"/>
      <c r="N185" s="1" t="s">
        <v>128</v>
      </c>
      <c r="O185" s="31">
        <v>6</v>
      </c>
      <c r="P185" s="31">
        <v>2</v>
      </c>
      <c r="Q185" s="32">
        <v>2009</v>
      </c>
    </row>
    <row r="186" spans="1:17" x14ac:dyDescent="0.25">
      <c r="A186" s="1" t="s">
        <v>141</v>
      </c>
      <c r="B186" s="31">
        <v>39.6</v>
      </c>
      <c r="C186" s="1" t="s">
        <v>20</v>
      </c>
      <c r="D186" s="2">
        <v>42767</v>
      </c>
      <c r="E186" s="2">
        <v>42767</v>
      </c>
      <c r="F186" s="17">
        <v>1040000</v>
      </c>
      <c r="G186" s="17">
        <v>26262.63</v>
      </c>
      <c r="H186" s="1"/>
      <c r="I186" s="1" t="s">
        <v>21</v>
      </c>
      <c r="J186" s="1" t="s">
        <v>22</v>
      </c>
      <c r="K186" s="1" t="s">
        <v>137</v>
      </c>
      <c r="L186" s="1" t="s">
        <v>135</v>
      </c>
      <c r="M186" s="1"/>
      <c r="N186" s="1" t="s">
        <v>138</v>
      </c>
      <c r="O186" s="31">
        <v>5</v>
      </c>
      <c r="P186" s="31">
        <v>2</v>
      </c>
      <c r="Q186" s="32">
        <v>2007</v>
      </c>
    </row>
    <row r="187" spans="1:17" x14ac:dyDescent="0.25">
      <c r="A187" s="1" t="s">
        <v>141</v>
      </c>
      <c r="B187" s="31">
        <v>39.6</v>
      </c>
      <c r="C187" s="1" t="s">
        <v>20</v>
      </c>
      <c r="D187" s="2">
        <v>42767</v>
      </c>
      <c r="E187" s="2">
        <v>42767</v>
      </c>
      <c r="F187" s="17">
        <v>1040000</v>
      </c>
      <c r="G187" s="17">
        <v>26262.63</v>
      </c>
      <c r="H187" s="1"/>
      <c r="I187" s="1" t="s">
        <v>21</v>
      </c>
      <c r="J187" s="1" t="s">
        <v>22</v>
      </c>
      <c r="K187" s="1" t="s">
        <v>137</v>
      </c>
      <c r="L187" s="1" t="s">
        <v>135</v>
      </c>
      <c r="M187" s="1"/>
      <c r="N187" s="1" t="s">
        <v>138</v>
      </c>
      <c r="O187" s="31">
        <v>5</v>
      </c>
      <c r="P187" s="31">
        <v>2</v>
      </c>
      <c r="Q187" s="32">
        <v>2007</v>
      </c>
    </row>
    <row r="188" spans="1:17" x14ac:dyDescent="0.25">
      <c r="A188" s="1" t="s">
        <v>136</v>
      </c>
      <c r="B188" s="31">
        <v>48.5</v>
      </c>
      <c r="C188" s="1" t="s">
        <v>20</v>
      </c>
      <c r="D188" s="2">
        <v>42644</v>
      </c>
      <c r="E188" s="2">
        <v>42644</v>
      </c>
      <c r="F188" s="17">
        <v>1320000</v>
      </c>
      <c r="G188" s="17">
        <v>27216.49</v>
      </c>
      <c r="H188" s="1"/>
      <c r="I188" s="1" t="s">
        <v>21</v>
      </c>
      <c r="J188" s="1" t="s">
        <v>22</v>
      </c>
      <c r="K188" s="1" t="s">
        <v>137</v>
      </c>
      <c r="L188" s="1" t="s">
        <v>135</v>
      </c>
      <c r="M188" s="1"/>
      <c r="N188" s="1" t="s">
        <v>49</v>
      </c>
      <c r="O188" s="31">
        <v>5</v>
      </c>
      <c r="P188" s="31">
        <v>2</v>
      </c>
      <c r="Q188" s="32">
        <v>2015</v>
      </c>
    </row>
    <row r="189" spans="1:17" x14ac:dyDescent="0.25">
      <c r="A189" s="1" t="s">
        <v>136</v>
      </c>
      <c r="B189" s="31">
        <v>48.5</v>
      </c>
      <c r="C189" s="1" t="s">
        <v>20</v>
      </c>
      <c r="D189" s="2">
        <v>42644</v>
      </c>
      <c r="E189" s="2">
        <v>42644</v>
      </c>
      <c r="F189" s="17">
        <v>1320000</v>
      </c>
      <c r="G189" s="17">
        <v>27216.49</v>
      </c>
      <c r="H189" s="1"/>
      <c r="I189" s="1" t="s">
        <v>21</v>
      </c>
      <c r="J189" s="1" t="s">
        <v>22</v>
      </c>
      <c r="K189" s="1" t="s">
        <v>137</v>
      </c>
      <c r="L189" s="1" t="s">
        <v>135</v>
      </c>
      <c r="M189" s="1"/>
      <c r="N189" s="1" t="s">
        <v>49</v>
      </c>
      <c r="O189" s="31">
        <v>5</v>
      </c>
      <c r="P189" s="31">
        <v>2</v>
      </c>
      <c r="Q189" s="32">
        <v>2015</v>
      </c>
    </row>
    <row r="190" spans="1:17" x14ac:dyDescent="0.25">
      <c r="A190" s="1" t="s">
        <v>146</v>
      </c>
      <c r="B190" s="31">
        <v>26.6</v>
      </c>
      <c r="C190" s="1" t="s">
        <v>20</v>
      </c>
      <c r="D190" s="2">
        <v>42675</v>
      </c>
      <c r="E190" s="2">
        <v>42675</v>
      </c>
      <c r="F190" s="17">
        <v>735000</v>
      </c>
      <c r="G190" s="17">
        <v>27631.58</v>
      </c>
      <c r="H190" s="1"/>
      <c r="I190" s="1" t="s">
        <v>21</v>
      </c>
      <c r="J190" s="1" t="s">
        <v>22</v>
      </c>
      <c r="K190" s="1" t="s">
        <v>137</v>
      </c>
      <c r="L190" s="1" t="s">
        <v>135</v>
      </c>
      <c r="M190" s="1"/>
      <c r="N190" s="1" t="s">
        <v>75</v>
      </c>
      <c r="O190" s="31">
        <v>1</v>
      </c>
      <c r="P190" s="31">
        <v>1</v>
      </c>
      <c r="Q190" s="32">
        <v>2006</v>
      </c>
    </row>
    <row r="191" spans="1:17" x14ac:dyDescent="0.25">
      <c r="A191" s="1" t="s">
        <v>143</v>
      </c>
      <c r="B191" s="31">
        <v>60</v>
      </c>
      <c r="C191" s="1" t="s">
        <v>20</v>
      </c>
      <c r="D191" s="2">
        <v>42644</v>
      </c>
      <c r="E191" s="2">
        <v>42644</v>
      </c>
      <c r="F191" s="17">
        <v>1658000</v>
      </c>
      <c r="G191" s="17">
        <v>27633.33</v>
      </c>
      <c r="H191" s="1"/>
      <c r="I191" s="1" t="s">
        <v>21</v>
      </c>
      <c r="J191" s="1" t="s">
        <v>22</v>
      </c>
      <c r="K191" s="1" t="s">
        <v>137</v>
      </c>
      <c r="L191" s="1" t="s">
        <v>135</v>
      </c>
      <c r="M191" s="1"/>
      <c r="N191" s="1" t="s">
        <v>144</v>
      </c>
      <c r="O191" s="31">
        <v>1</v>
      </c>
      <c r="P191" s="31">
        <v>1</v>
      </c>
      <c r="Q191" s="32">
        <v>2004</v>
      </c>
    </row>
    <row r="192" spans="1:17" x14ac:dyDescent="0.25">
      <c r="A192" s="1" t="s">
        <v>136</v>
      </c>
      <c r="B192" s="31">
        <v>59.5</v>
      </c>
      <c r="C192" s="1" t="s">
        <v>20</v>
      </c>
      <c r="D192" s="2">
        <v>42767</v>
      </c>
      <c r="E192" s="2">
        <v>42767</v>
      </c>
      <c r="F192" s="17">
        <v>1680000</v>
      </c>
      <c r="G192" s="17">
        <v>28235.29</v>
      </c>
      <c r="H192" s="1"/>
      <c r="I192" s="1" t="s">
        <v>21</v>
      </c>
      <c r="J192" s="1" t="s">
        <v>22</v>
      </c>
      <c r="K192" s="1" t="s">
        <v>137</v>
      </c>
      <c r="L192" s="1" t="s">
        <v>135</v>
      </c>
      <c r="M192" s="1"/>
      <c r="N192" s="1" t="s">
        <v>145</v>
      </c>
      <c r="O192" s="31">
        <v>5</v>
      </c>
      <c r="P192" s="31">
        <v>2</v>
      </c>
      <c r="Q192" s="32">
        <v>2013</v>
      </c>
    </row>
    <row r="193" spans="1:17" x14ac:dyDescent="0.25">
      <c r="A193" s="1" t="s">
        <v>136</v>
      </c>
      <c r="B193" s="31">
        <v>59.5</v>
      </c>
      <c r="C193" s="1" t="s">
        <v>20</v>
      </c>
      <c r="D193" s="2">
        <v>42767</v>
      </c>
      <c r="E193" s="2">
        <v>42767</v>
      </c>
      <c r="F193" s="17">
        <v>1680000</v>
      </c>
      <c r="G193" s="17">
        <v>28235.29</v>
      </c>
      <c r="H193" s="1"/>
      <c r="I193" s="1" t="s">
        <v>21</v>
      </c>
      <c r="J193" s="1" t="s">
        <v>22</v>
      </c>
      <c r="K193" s="1" t="s">
        <v>137</v>
      </c>
      <c r="L193" s="1" t="s">
        <v>135</v>
      </c>
      <c r="M193" s="1"/>
      <c r="N193" s="1" t="s">
        <v>145</v>
      </c>
      <c r="O193" s="31">
        <v>5</v>
      </c>
      <c r="P193" s="31">
        <v>2</v>
      </c>
      <c r="Q193" s="32">
        <v>2013</v>
      </c>
    </row>
    <row r="194" spans="1:17" x14ac:dyDescent="0.25">
      <c r="A194" s="1" t="s">
        <v>141</v>
      </c>
      <c r="B194" s="31">
        <v>44.7</v>
      </c>
      <c r="C194" s="1" t="s">
        <v>20</v>
      </c>
      <c r="D194" s="2">
        <v>42705</v>
      </c>
      <c r="E194" s="2">
        <v>42705</v>
      </c>
      <c r="F194" s="17">
        <v>1280000</v>
      </c>
      <c r="G194" s="17">
        <v>28635.35</v>
      </c>
      <c r="H194" s="1"/>
      <c r="I194" s="1" t="s">
        <v>21</v>
      </c>
      <c r="J194" s="1" t="s">
        <v>22</v>
      </c>
      <c r="K194" s="1" t="s">
        <v>137</v>
      </c>
      <c r="L194" s="1" t="s">
        <v>135</v>
      </c>
      <c r="M194" s="1"/>
      <c r="N194" s="1" t="s">
        <v>142</v>
      </c>
      <c r="O194" s="31">
        <v>3</v>
      </c>
      <c r="P194" s="31">
        <v>1</v>
      </c>
      <c r="Q194" s="32">
        <v>2002</v>
      </c>
    </row>
    <row r="195" spans="1:17" x14ac:dyDescent="0.25">
      <c r="A195" s="1" t="s">
        <v>140</v>
      </c>
      <c r="B195" s="31">
        <v>95.4</v>
      </c>
      <c r="C195" s="1" t="s">
        <v>20</v>
      </c>
      <c r="D195" s="2">
        <v>42675</v>
      </c>
      <c r="E195" s="2">
        <v>42675</v>
      </c>
      <c r="F195" s="17">
        <v>2750000</v>
      </c>
      <c r="G195" s="17">
        <v>28826</v>
      </c>
      <c r="H195" s="1"/>
      <c r="I195" s="1" t="s">
        <v>21</v>
      </c>
      <c r="J195" s="1" t="s">
        <v>22</v>
      </c>
      <c r="K195" s="1" t="s">
        <v>137</v>
      </c>
      <c r="L195" s="1" t="s">
        <v>135</v>
      </c>
      <c r="M195" s="1"/>
      <c r="N195" s="1" t="s">
        <v>149</v>
      </c>
      <c r="O195" s="31">
        <v>4</v>
      </c>
      <c r="P195" s="31">
        <v>1</v>
      </c>
      <c r="Q195" s="32">
        <v>2004</v>
      </c>
    </row>
    <row r="196" spans="1:17" x14ac:dyDescent="0.25">
      <c r="A196" s="1" t="s">
        <v>139</v>
      </c>
      <c r="B196" s="31">
        <v>75.2</v>
      </c>
      <c r="C196" s="1" t="s">
        <v>20</v>
      </c>
      <c r="D196" s="2">
        <v>42705</v>
      </c>
      <c r="E196" s="2">
        <v>42705</v>
      </c>
      <c r="F196" s="17">
        <v>2191000</v>
      </c>
      <c r="G196" s="17">
        <v>29135.64</v>
      </c>
      <c r="H196" s="1"/>
      <c r="I196" s="1" t="s">
        <v>21</v>
      </c>
      <c r="J196" s="1" t="s">
        <v>22</v>
      </c>
      <c r="K196" s="1" t="s">
        <v>137</v>
      </c>
      <c r="L196" s="1" t="s">
        <v>135</v>
      </c>
      <c r="M196" s="1"/>
      <c r="N196" s="1" t="s">
        <v>128</v>
      </c>
      <c r="O196" s="31">
        <v>5</v>
      </c>
      <c r="P196" s="31">
        <v>2</v>
      </c>
      <c r="Q196" s="32">
        <v>2016</v>
      </c>
    </row>
    <row r="197" spans="1:17" x14ac:dyDescent="0.25">
      <c r="A197" s="1" t="s">
        <v>139</v>
      </c>
      <c r="B197" s="31">
        <v>75.2</v>
      </c>
      <c r="C197" s="1" t="s">
        <v>20</v>
      </c>
      <c r="D197" s="2">
        <v>42705</v>
      </c>
      <c r="E197" s="2">
        <v>42705</v>
      </c>
      <c r="F197" s="17">
        <v>2191000</v>
      </c>
      <c r="G197" s="17">
        <v>29135.64</v>
      </c>
      <c r="H197" s="1"/>
      <c r="I197" s="1" t="s">
        <v>21</v>
      </c>
      <c r="J197" s="1" t="s">
        <v>22</v>
      </c>
      <c r="K197" s="1" t="s">
        <v>137</v>
      </c>
      <c r="L197" s="1" t="s">
        <v>135</v>
      </c>
      <c r="M197" s="1"/>
      <c r="N197" s="1" t="s">
        <v>128</v>
      </c>
      <c r="O197" s="31">
        <v>5</v>
      </c>
      <c r="P197" s="31">
        <v>2</v>
      </c>
      <c r="Q197" s="32">
        <v>2016</v>
      </c>
    </row>
    <row r="198" spans="1:17" x14ac:dyDescent="0.25">
      <c r="A198" s="1" t="s">
        <v>139</v>
      </c>
      <c r="B198" s="31">
        <v>65.099999999999994</v>
      </c>
      <c r="C198" s="1" t="s">
        <v>20</v>
      </c>
      <c r="D198" s="2">
        <v>42644</v>
      </c>
      <c r="E198" s="2">
        <v>42644</v>
      </c>
      <c r="F198" s="17">
        <v>1907200</v>
      </c>
      <c r="G198" s="17">
        <v>29296.47</v>
      </c>
      <c r="H198" s="1"/>
      <c r="I198" s="1" t="s">
        <v>21</v>
      </c>
      <c r="J198" s="1" t="s">
        <v>22</v>
      </c>
      <c r="K198" s="1" t="s">
        <v>137</v>
      </c>
      <c r="L198" s="1" t="s">
        <v>135</v>
      </c>
      <c r="M198" s="1"/>
      <c r="N198" s="1" t="s">
        <v>128</v>
      </c>
      <c r="O198" s="31">
        <v>4</v>
      </c>
      <c r="P198" s="31">
        <v>1</v>
      </c>
      <c r="Q198" s="32">
        <v>2016</v>
      </c>
    </row>
    <row r="199" spans="1:17" x14ac:dyDescent="0.25">
      <c r="A199" s="1" t="s">
        <v>136</v>
      </c>
      <c r="B199" s="31">
        <v>50.5</v>
      </c>
      <c r="C199" s="1" t="s">
        <v>20</v>
      </c>
      <c r="D199" s="2">
        <v>42767</v>
      </c>
      <c r="E199" s="2">
        <v>42767</v>
      </c>
      <c r="F199" s="17">
        <v>1500000</v>
      </c>
      <c r="G199" s="17">
        <v>29702.97</v>
      </c>
      <c r="H199" s="1"/>
      <c r="I199" s="1" t="s">
        <v>21</v>
      </c>
      <c r="J199" s="1" t="s">
        <v>22</v>
      </c>
      <c r="K199" s="1" t="s">
        <v>137</v>
      </c>
      <c r="L199" s="1" t="s">
        <v>135</v>
      </c>
      <c r="M199" s="1"/>
      <c r="N199" s="1" t="s">
        <v>138</v>
      </c>
      <c r="O199" s="31">
        <v>4</v>
      </c>
      <c r="P199" s="31">
        <v>2</v>
      </c>
      <c r="Q199" s="32">
        <v>2001</v>
      </c>
    </row>
    <row r="200" spans="1:17" x14ac:dyDescent="0.25">
      <c r="A200" s="1" t="s">
        <v>136</v>
      </c>
      <c r="B200" s="31">
        <v>50.5</v>
      </c>
      <c r="C200" s="1" t="s">
        <v>20</v>
      </c>
      <c r="D200" s="2">
        <v>42767</v>
      </c>
      <c r="E200" s="2">
        <v>42767</v>
      </c>
      <c r="F200" s="17">
        <v>1500000</v>
      </c>
      <c r="G200" s="17">
        <v>29702.97</v>
      </c>
      <c r="H200" s="1"/>
      <c r="I200" s="1" t="s">
        <v>21</v>
      </c>
      <c r="J200" s="1" t="s">
        <v>22</v>
      </c>
      <c r="K200" s="1" t="s">
        <v>137</v>
      </c>
      <c r="L200" s="1" t="s">
        <v>135</v>
      </c>
      <c r="M200" s="1"/>
      <c r="N200" s="1" t="s">
        <v>138</v>
      </c>
      <c r="O200" s="31">
        <v>4</v>
      </c>
      <c r="P200" s="31">
        <v>2</v>
      </c>
      <c r="Q200" s="32">
        <v>2001</v>
      </c>
    </row>
    <row r="201" spans="1:17" x14ac:dyDescent="0.25">
      <c r="A201" s="1" t="s">
        <v>136</v>
      </c>
      <c r="B201" s="31">
        <v>47.8</v>
      </c>
      <c r="C201" s="1" t="s">
        <v>20</v>
      </c>
      <c r="D201" s="2">
        <v>42736</v>
      </c>
      <c r="E201" s="2">
        <v>42767</v>
      </c>
      <c r="F201" s="17">
        <v>1440000</v>
      </c>
      <c r="G201" s="17">
        <v>30125.52</v>
      </c>
      <c r="H201" s="1"/>
      <c r="I201" s="1" t="s">
        <v>21</v>
      </c>
      <c r="J201" s="1" t="s">
        <v>22</v>
      </c>
      <c r="K201" s="1" t="s">
        <v>137</v>
      </c>
      <c r="L201" s="1" t="s">
        <v>135</v>
      </c>
      <c r="M201" s="1"/>
      <c r="N201" s="1" t="s">
        <v>138</v>
      </c>
      <c r="O201" s="31">
        <v>2</v>
      </c>
      <c r="P201" s="31">
        <v>1</v>
      </c>
      <c r="Q201" s="32">
        <v>2002</v>
      </c>
    </row>
    <row r="202" spans="1:17" x14ac:dyDescent="0.25">
      <c r="A202" s="1" t="s">
        <v>141</v>
      </c>
      <c r="B202" s="31">
        <v>55.6</v>
      </c>
      <c r="C202" s="1" t="s">
        <v>20</v>
      </c>
      <c r="D202" s="2">
        <v>42767</v>
      </c>
      <c r="E202" s="2">
        <v>42767</v>
      </c>
      <c r="F202" s="17">
        <v>1680000</v>
      </c>
      <c r="G202" s="17">
        <v>30215.83</v>
      </c>
      <c r="H202" s="1"/>
      <c r="I202" s="1" t="s">
        <v>21</v>
      </c>
      <c r="J202" s="1" t="s">
        <v>22</v>
      </c>
      <c r="K202" s="1" t="s">
        <v>137</v>
      </c>
      <c r="L202" s="1" t="s">
        <v>135</v>
      </c>
      <c r="M202" s="1"/>
      <c r="N202" s="1" t="s">
        <v>145</v>
      </c>
      <c r="O202" s="31">
        <v>3</v>
      </c>
      <c r="P202" s="31">
        <v>2</v>
      </c>
      <c r="Q202" s="32">
        <v>2002</v>
      </c>
    </row>
    <row r="203" spans="1:17" x14ac:dyDescent="0.25">
      <c r="A203" s="1" t="s">
        <v>141</v>
      </c>
      <c r="B203" s="31">
        <v>55.6</v>
      </c>
      <c r="C203" s="1" t="s">
        <v>20</v>
      </c>
      <c r="D203" s="2">
        <v>42767</v>
      </c>
      <c r="E203" s="2">
        <v>42767</v>
      </c>
      <c r="F203" s="17">
        <v>1680000</v>
      </c>
      <c r="G203" s="17">
        <v>30215.83</v>
      </c>
      <c r="H203" s="1"/>
      <c r="I203" s="1" t="s">
        <v>21</v>
      </c>
      <c r="J203" s="1" t="s">
        <v>22</v>
      </c>
      <c r="K203" s="1" t="s">
        <v>137</v>
      </c>
      <c r="L203" s="1" t="s">
        <v>135</v>
      </c>
      <c r="M203" s="1"/>
      <c r="N203" s="1" t="s">
        <v>145</v>
      </c>
      <c r="O203" s="31">
        <v>3</v>
      </c>
      <c r="P203" s="31">
        <v>2</v>
      </c>
      <c r="Q203" s="32">
        <v>2002</v>
      </c>
    </row>
    <row r="204" spans="1:17" x14ac:dyDescent="0.25">
      <c r="A204" s="1" t="s">
        <v>147</v>
      </c>
      <c r="B204" s="31">
        <v>46.2</v>
      </c>
      <c r="C204" s="1" t="s">
        <v>20</v>
      </c>
      <c r="D204" s="2">
        <v>42675</v>
      </c>
      <c r="E204" s="2">
        <v>42675</v>
      </c>
      <c r="F204" s="17">
        <v>1400000</v>
      </c>
      <c r="G204" s="17">
        <v>30303.03</v>
      </c>
      <c r="H204" s="1"/>
      <c r="I204" s="1" t="s">
        <v>21</v>
      </c>
      <c r="J204" s="1" t="s">
        <v>22</v>
      </c>
      <c r="K204" s="1" t="s">
        <v>137</v>
      </c>
      <c r="L204" s="1" t="s">
        <v>135</v>
      </c>
      <c r="M204" s="1"/>
      <c r="N204" s="1" t="s">
        <v>148</v>
      </c>
      <c r="O204" s="31">
        <v>3</v>
      </c>
      <c r="P204" s="31">
        <v>1</v>
      </c>
      <c r="Q204" s="32">
        <v>2014</v>
      </c>
    </row>
    <row r="205" spans="1:17" x14ac:dyDescent="0.25">
      <c r="A205" s="1" t="s">
        <v>136</v>
      </c>
      <c r="B205" s="31">
        <v>59.6</v>
      </c>
      <c r="C205" s="1" t="s">
        <v>20</v>
      </c>
      <c r="D205" s="2">
        <v>42767</v>
      </c>
      <c r="E205" s="2">
        <v>42767</v>
      </c>
      <c r="F205" s="17">
        <v>1840000</v>
      </c>
      <c r="G205" s="17">
        <v>30872.48</v>
      </c>
      <c r="H205" s="1"/>
      <c r="I205" s="1" t="s">
        <v>21</v>
      </c>
      <c r="J205" s="1" t="s">
        <v>22</v>
      </c>
      <c r="K205" s="1" t="s">
        <v>137</v>
      </c>
      <c r="L205" s="1" t="s">
        <v>135</v>
      </c>
      <c r="M205" s="1"/>
      <c r="N205" s="1" t="s">
        <v>49</v>
      </c>
      <c r="O205" s="31">
        <v>4</v>
      </c>
      <c r="P205" s="31">
        <v>1</v>
      </c>
      <c r="Q205" s="32">
        <v>2007</v>
      </c>
    </row>
    <row r="206" spans="1:17" x14ac:dyDescent="0.25">
      <c r="A206" s="1" t="s">
        <v>141</v>
      </c>
      <c r="B206" s="31">
        <v>60.3</v>
      </c>
      <c r="C206" s="1" t="s">
        <v>20</v>
      </c>
      <c r="D206" s="2">
        <v>42705</v>
      </c>
      <c r="E206" s="2">
        <v>42736</v>
      </c>
      <c r="F206" s="17">
        <v>1900000</v>
      </c>
      <c r="G206" s="17">
        <v>31509.119999999999</v>
      </c>
      <c r="H206" s="1"/>
      <c r="I206" s="1" t="s">
        <v>21</v>
      </c>
      <c r="J206" s="1" t="s">
        <v>22</v>
      </c>
      <c r="K206" s="1" t="s">
        <v>137</v>
      </c>
      <c r="L206" s="1" t="s">
        <v>135</v>
      </c>
      <c r="M206" s="1"/>
      <c r="N206" s="1" t="s">
        <v>145</v>
      </c>
      <c r="O206" s="31">
        <v>3</v>
      </c>
      <c r="P206" s="31">
        <v>2</v>
      </c>
      <c r="Q206" s="32">
        <v>2002</v>
      </c>
    </row>
    <row r="207" spans="1:17" x14ac:dyDescent="0.25">
      <c r="A207" s="1" t="s">
        <v>141</v>
      </c>
      <c r="B207" s="31">
        <v>60.3</v>
      </c>
      <c r="C207" s="1" t="s">
        <v>20</v>
      </c>
      <c r="D207" s="2">
        <v>42705</v>
      </c>
      <c r="E207" s="2">
        <v>42736</v>
      </c>
      <c r="F207" s="17">
        <v>1900000</v>
      </c>
      <c r="G207" s="17">
        <v>31509.119999999999</v>
      </c>
      <c r="H207" s="1"/>
      <c r="I207" s="1" t="s">
        <v>21</v>
      </c>
      <c r="J207" s="1" t="s">
        <v>22</v>
      </c>
      <c r="K207" s="1" t="s">
        <v>137</v>
      </c>
      <c r="L207" s="1" t="s">
        <v>135</v>
      </c>
      <c r="M207" s="1"/>
      <c r="N207" s="1" t="s">
        <v>145</v>
      </c>
      <c r="O207" s="31">
        <v>3</v>
      </c>
      <c r="P207" s="31">
        <v>2</v>
      </c>
      <c r="Q207" s="32">
        <v>2002</v>
      </c>
    </row>
    <row r="208" spans="1:17" x14ac:dyDescent="0.25">
      <c r="A208" s="1" t="s">
        <v>141</v>
      </c>
      <c r="B208" s="31">
        <v>50.7</v>
      </c>
      <c r="C208" s="1" t="s">
        <v>20</v>
      </c>
      <c r="D208" s="2">
        <v>42736</v>
      </c>
      <c r="E208" s="2">
        <v>42767</v>
      </c>
      <c r="F208" s="17">
        <v>1600000</v>
      </c>
      <c r="G208" s="17">
        <v>31558.19</v>
      </c>
      <c r="H208" s="1"/>
      <c r="I208" s="1" t="s">
        <v>21</v>
      </c>
      <c r="J208" s="1" t="s">
        <v>22</v>
      </c>
      <c r="K208" s="1" t="s">
        <v>137</v>
      </c>
      <c r="L208" s="1" t="s">
        <v>135</v>
      </c>
      <c r="M208" s="1"/>
      <c r="N208" s="1" t="s">
        <v>142</v>
      </c>
      <c r="O208" s="31">
        <v>2</v>
      </c>
      <c r="P208" s="31">
        <v>1</v>
      </c>
      <c r="Q208" s="32">
        <v>2009</v>
      </c>
    </row>
    <row r="209" spans="1:17" x14ac:dyDescent="0.25">
      <c r="A209" s="1" t="s">
        <v>141</v>
      </c>
      <c r="B209" s="31">
        <v>50.2</v>
      </c>
      <c r="C209" s="1" t="s">
        <v>20</v>
      </c>
      <c r="D209" s="2">
        <v>42767</v>
      </c>
      <c r="E209" s="2">
        <v>42767</v>
      </c>
      <c r="F209" s="17">
        <v>1615000</v>
      </c>
      <c r="G209" s="17">
        <v>32171.31</v>
      </c>
      <c r="H209" s="1"/>
      <c r="I209" s="1" t="s">
        <v>21</v>
      </c>
      <c r="J209" s="1" t="s">
        <v>22</v>
      </c>
      <c r="K209" s="1" t="s">
        <v>137</v>
      </c>
      <c r="L209" s="1" t="s">
        <v>135</v>
      </c>
      <c r="M209" s="1"/>
      <c r="N209" s="1" t="s">
        <v>145</v>
      </c>
      <c r="O209" s="31">
        <v>2</v>
      </c>
      <c r="P209" s="31">
        <v>1</v>
      </c>
      <c r="Q209" s="32">
        <v>2017</v>
      </c>
    </row>
    <row r="210" spans="1:17" x14ac:dyDescent="0.25">
      <c r="A210" s="1" t="s">
        <v>139</v>
      </c>
      <c r="B210" s="31">
        <v>59.9</v>
      </c>
      <c r="C210" s="1" t="s">
        <v>20</v>
      </c>
      <c r="D210" s="2">
        <v>42614</v>
      </c>
      <c r="E210" s="2">
        <v>42644</v>
      </c>
      <c r="F210" s="17">
        <v>1929920</v>
      </c>
      <c r="G210" s="17">
        <v>32219.03</v>
      </c>
      <c r="H210" s="1"/>
      <c r="I210" s="1" t="s">
        <v>21</v>
      </c>
      <c r="J210" s="1" t="s">
        <v>22</v>
      </c>
      <c r="K210" s="1" t="s">
        <v>137</v>
      </c>
      <c r="L210" s="1" t="s">
        <v>135</v>
      </c>
      <c r="M210" s="1"/>
      <c r="N210" s="1" t="s">
        <v>128</v>
      </c>
      <c r="O210" s="31">
        <v>5</v>
      </c>
      <c r="P210" s="31">
        <v>1</v>
      </c>
      <c r="Q210" s="32">
        <v>2016</v>
      </c>
    </row>
    <row r="211" spans="1:17" x14ac:dyDescent="0.25">
      <c r="A211" s="1" t="s">
        <v>141</v>
      </c>
      <c r="B211" s="31">
        <v>43.9</v>
      </c>
      <c r="C211" s="1" t="s">
        <v>20</v>
      </c>
      <c r="D211" s="2">
        <v>42675</v>
      </c>
      <c r="E211" s="2">
        <v>42675</v>
      </c>
      <c r="F211" s="17">
        <v>1433026</v>
      </c>
      <c r="G211" s="17">
        <v>32642.959999999999</v>
      </c>
      <c r="H211" s="1"/>
      <c r="I211" s="1" t="s">
        <v>21</v>
      </c>
      <c r="J211" s="1" t="s">
        <v>22</v>
      </c>
      <c r="K211" s="1" t="s">
        <v>137</v>
      </c>
      <c r="L211" s="1" t="s">
        <v>135</v>
      </c>
      <c r="M211" s="1"/>
      <c r="N211" s="1" t="s">
        <v>138</v>
      </c>
      <c r="O211" s="31">
        <v>4</v>
      </c>
      <c r="P211" s="31">
        <v>2</v>
      </c>
      <c r="Q211" s="32">
        <v>2000</v>
      </c>
    </row>
    <row r="212" spans="1:17" x14ac:dyDescent="0.25">
      <c r="A212" s="1" t="s">
        <v>141</v>
      </c>
      <c r="B212" s="31">
        <v>43.9</v>
      </c>
      <c r="C212" s="1" t="s">
        <v>20</v>
      </c>
      <c r="D212" s="2">
        <v>42675</v>
      </c>
      <c r="E212" s="2">
        <v>42675</v>
      </c>
      <c r="F212" s="17">
        <v>1433026</v>
      </c>
      <c r="G212" s="17">
        <v>32642.959999999999</v>
      </c>
      <c r="H212" s="1"/>
      <c r="I212" s="1" t="s">
        <v>21</v>
      </c>
      <c r="J212" s="1" t="s">
        <v>22</v>
      </c>
      <c r="K212" s="1" t="s">
        <v>137</v>
      </c>
      <c r="L212" s="1" t="s">
        <v>135</v>
      </c>
      <c r="M212" s="1"/>
      <c r="N212" s="1" t="s">
        <v>138</v>
      </c>
      <c r="O212" s="31">
        <v>4</v>
      </c>
      <c r="P212" s="31">
        <v>2</v>
      </c>
      <c r="Q212" s="32">
        <v>2000</v>
      </c>
    </row>
    <row r="213" spans="1:17" x14ac:dyDescent="0.25">
      <c r="A213" s="1" t="s">
        <v>136</v>
      </c>
      <c r="B213" s="31">
        <v>48.8</v>
      </c>
      <c r="C213" s="1" t="s">
        <v>20</v>
      </c>
      <c r="D213" s="2">
        <v>42644</v>
      </c>
      <c r="E213" s="2">
        <v>42644</v>
      </c>
      <c r="F213" s="17">
        <v>1600000</v>
      </c>
      <c r="G213" s="17">
        <v>32786.89</v>
      </c>
      <c r="H213" s="1"/>
      <c r="I213" s="1" t="s">
        <v>21</v>
      </c>
      <c r="J213" s="1" t="s">
        <v>22</v>
      </c>
      <c r="K213" s="1" t="s">
        <v>137</v>
      </c>
      <c r="L213" s="1" t="s">
        <v>135</v>
      </c>
      <c r="M213" s="1"/>
      <c r="N213" s="1" t="s">
        <v>138</v>
      </c>
      <c r="O213" s="31">
        <v>5</v>
      </c>
      <c r="P213" s="31">
        <v>1</v>
      </c>
      <c r="Q213" s="32">
        <v>2000</v>
      </c>
    </row>
    <row r="214" spans="1:17" x14ac:dyDescent="0.25">
      <c r="A214" s="1" t="s">
        <v>143</v>
      </c>
      <c r="B214" s="31">
        <v>27.2</v>
      </c>
      <c r="C214" s="1" t="s">
        <v>20</v>
      </c>
      <c r="D214" s="2">
        <v>42767</v>
      </c>
      <c r="E214" s="2">
        <v>42767</v>
      </c>
      <c r="F214" s="17">
        <v>900000</v>
      </c>
      <c r="G214" s="17">
        <v>33088.239999999998</v>
      </c>
      <c r="H214" s="1"/>
      <c r="I214" s="1" t="s">
        <v>21</v>
      </c>
      <c r="J214" s="1" t="s">
        <v>22</v>
      </c>
      <c r="K214" s="1" t="s">
        <v>137</v>
      </c>
      <c r="L214" s="1" t="s">
        <v>135</v>
      </c>
      <c r="M214" s="1"/>
      <c r="N214" s="1" t="s">
        <v>109</v>
      </c>
      <c r="O214" s="31">
        <v>2</v>
      </c>
      <c r="P214" s="31">
        <v>1</v>
      </c>
      <c r="Q214" s="32">
        <v>2016</v>
      </c>
    </row>
    <row r="215" spans="1:17" x14ac:dyDescent="0.25">
      <c r="A215" s="1" t="s">
        <v>141</v>
      </c>
      <c r="B215" s="31">
        <v>42.3</v>
      </c>
      <c r="C215" s="1" t="s">
        <v>20</v>
      </c>
      <c r="D215" s="2">
        <v>42795</v>
      </c>
      <c r="E215" s="2">
        <v>42795</v>
      </c>
      <c r="F215" s="17">
        <v>1400000</v>
      </c>
      <c r="G215" s="17">
        <v>33096.93</v>
      </c>
      <c r="H215" s="1"/>
      <c r="I215" s="1" t="s">
        <v>21</v>
      </c>
      <c r="J215" s="1" t="s">
        <v>22</v>
      </c>
      <c r="K215" s="1" t="s">
        <v>137</v>
      </c>
      <c r="L215" s="1" t="s">
        <v>135</v>
      </c>
      <c r="M215" s="1"/>
      <c r="N215" s="1" t="s">
        <v>142</v>
      </c>
      <c r="O215" s="31">
        <v>1</v>
      </c>
      <c r="P215" s="31">
        <v>2</v>
      </c>
      <c r="Q215" s="32">
        <v>2006</v>
      </c>
    </row>
    <row r="216" spans="1:17" x14ac:dyDescent="0.25">
      <c r="A216" s="1" t="s">
        <v>141</v>
      </c>
      <c r="B216" s="31">
        <v>42.3</v>
      </c>
      <c r="C216" s="1" t="s">
        <v>20</v>
      </c>
      <c r="D216" s="2">
        <v>42795</v>
      </c>
      <c r="E216" s="2">
        <v>42795</v>
      </c>
      <c r="F216" s="17">
        <v>1400000</v>
      </c>
      <c r="G216" s="17">
        <v>33096.93</v>
      </c>
      <c r="H216" s="1"/>
      <c r="I216" s="1" t="s">
        <v>21</v>
      </c>
      <c r="J216" s="1" t="s">
        <v>22</v>
      </c>
      <c r="K216" s="1" t="s">
        <v>137</v>
      </c>
      <c r="L216" s="1" t="s">
        <v>135</v>
      </c>
      <c r="M216" s="1"/>
      <c r="N216" s="1" t="s">
        <v>142</v>
      </c>
      <c r="O216" s="31">
        <v>1</v>
      </c>
      <c r="P216" s="31">
        <v>2</v>
      </c>
      <c r="Q216" s="32">
        <v>2006</v>
      </c>
    </row>
    <row r="217" spans="1:17" x14ac:dyDescent="0.25">
      <c r="A217" s="1" t="s">
        <v>141</v>
      </c>
      <c r="B217" s="31">
        <v>42.6</v>
      </c>
      <c r="C217" s="1" t="s">
        <v>20</v>
      </c>
      <c r="D217" s="2">
        <v>42705</v>
      </c>
      <c r="E217" s="2">
        <v>42705</v>
      </c>
      <c r="F217" s="17">
        <v>1439000</v>
      </c>
      <c r="G217" s="17">
        <v>33779.339999999997</v>
      </c>
      <c r="H217" s="1"/>
      <c r="I217" s="1" t="s">
        <v>21</v>
      </c>
      <c r="J217" s="1" t="s">
        <v>22</v>
      </c>
      <c r="K217" s="1" t="s">
        <v>137</v>
      </c>
      <c r="L217" s="1" t="s">
        <v>135</v>
      </c>
      <c r="M217" s="1"/>
      <c r="N217" s="1" t="s">
        <v>128</v>
      </c>
      <c r="O217" s="31">
        <v>4</v>
      </c>
      <c r="P217" s="31">
        <v>2</v>
      </c>
      <c r="Q217" s="32">
        <v>2012</v>
      </c>
    </row>
    <row r="218" spans="1:17" x14ac:dyDescent="0.25">
      <c r="A218" s="1" t="s">
        <v>141</v>
      </c>
      <c r="B218" s="31">
        <v>42.6</v>
      </c>
      <c r="C218" s="1" t="s">
        <v>20</v>
      </c>
      <c r="D218" s="2">
        <v>42705</v>
      </c>
      <c r="E218" s="2">
        <v>42705</v>
      </c>
      <c r="F218" s="17">
        <v>1439000</v>
      </c>
      <c r="G218" s="17">
        <v>33779.339999999997</v>
      </c>
      <c r="H218" s="1"/>
      <c r="I218" s="1" t="s">
        <v>21</v>
      </c>
      <c r="J218" s="1" t="s">
        <v>22</v>
      </c>
      <c r="K218" s="1" t="s">
        <v>137</v>
      </c>
      <c r="L218" s="1" t="s">
        <v>135</v>
      </c>
      <c r="M218" s="1"/>
      <c r="N218" s="1" t="s">
        <v>128</v>
      </c>
      <c r="O218" s="31">
        <v>4</v>
      </c>
      <c r="P218" s="31">
        <v>2</v>
      </c>
      <c r="Q218" s="32">
        <v>2012</v>
      </c>
    </row>
    <row r="219" spans="1:17" x14ac:dyDescent="0.25">
      <c r="A219" s="1" t="s">
        <v>141</v>
      </c>
      <c r="B219" s="31">
        <v>56</v>
      </c>
      <c r="C219" s="1" t="s">
        <v>20</v>
      </c>
      <c r="D219" s="2">
        <v>42644</v>
      </c>
      <c r="E219" s="2">
        <v>42644</v>
      </c>
      <c r="F219" s="17">
        <v>1900000</v>
      </c>
      <c r="G219" s="17">
        <v>33928.57</v>
      </c>
      <c r="H219" s="1"/>
      <c r="I219" s="1" t="s">
        <v>21</v>
      </c>
      <c r="J219" s="1" t="s">
        <v>22</v>
      </c>
      <c r="K219" s="1" t="s">
        <v>137</v>
      </c>
      <c r="L219" s="1" t="s">
        <v>135</v>
      </c>
      <c r="M219" s="1"/>
      <c r="N219" s="1" t="s">
        <v>142</v>
      </c>
      <c r="O219" s="31">
        <v>5</v>
      </c>
      <c r="P219" s="31">
        <v>2</v>
      </c>
      <c r="Q219" s="32">
        <v>2016</v>
      </c>
    </row>
    <row r="220" spans="1:17" x14ac:dyDescent="0.25">
      <c r="A220" s="1" t="s">
        <v>141</v>
      </c>
      <c r="B220" s="31">
        <v>56</v>
      </c>
      <c r="C220" s="1" t="s">
        <v>20</v>
      </c>
      <c r="D220" s="2">
        <v>42644</v>
      </c>
      <c r="E220" s="2">
        <v>42644</v>
      </c>
      <c r="F220" s="17">
        <v>1900000</v>
      </c>
      <c r="G220" s="17">
        <v>33928.57</v>
      </c>
      <c r="H220" s="1"/>
      <c r="I220" s="1" t="s">
        <v>21</v>
      </c>
      <c r="J220" s="1" t="s">
        <v>22</v>
      </c>
      <c r="K220" s="1" t="s">
        <v>137</v>
      </c>
      <c r="L220" s="1" t="s">
        <v>135</v>
      </c>
      <c r="M220" s="1"/>
      <c r="N220" s="1" t="s">
        <v>142</v>
      </c>
      <c r="O220" s="31">
        <v>5</v>
      </c>
      <c r="P220" s="31">
        <v>2</v>
      </c>
      <c r="Q220" s="32">
        <v>2016</v>
      </c>
    </row>
    <row r="221" spans="1:17" x14ac:dyDescent="0.25">
      <c r="A221" s="1" t="s">
        <v>136</v>
      </c>
      <c r="B221" s="31">
        <v>40.6</v>
      </c>
      <c r="C221" s="1" t="s">
        <v>20</v>
      </c>
      <c r="D221" s="2">
        <v>42644</v>
      </c>
      <c r="E221" s="2">
        <v>42644</v>
      </c>
      <c r="F221" s="17">
        <v>1391200</v>
      </c>
      <c r="G221" s="17">
        <v>34266.01</v>
      </c>
      <c r="H221" s="1"/>
      <c r="I221" s="1" t="s">
        <v>21</v>
      </c>
      <c r="J221" s="1" t="s">
        <v>22</v>
      </c>
      <c r="K221" s="1" t="s">
        <v>137</v>
      </c>
      <c r="L221" s="1" t="s">
        <v>135</v>
      </c>
      <c r="M221" s="1"/>
      <c r="N221" s="1" t="s">
        <v>138</v>
      </c>
      <c r="O221" s="31">
        <v>4</v>
      </c>
      <c r="P221" s="31">
        <v>1</v>
      </c>
      <c r="Q221" s="32">
        <v>2002</v>
      </c>
    </row>
    <row r="222" spans="1:17" x14ac:dyDescent="0.25">
      <c r="A222" s="1" t="s">
        <v>141</v>
      </c>
      <c r="B222" s="31">
        <v>43.8</v>
      </c>
      <c r="C222" s="1" t="s">
        <v>20</v>
      </c>
      <c r="D222" s="2">
        <v>42795</v>
      </c>
      <c r="E222" s="2">
        <v>42795</v>
      </c>
      <c r="F222" s="17">
        <v>1600000</v>
      </c>
      <c r="G222" s="17">
        <v>36529.68</v>
      </c>
      <c r="H222" s="1"/>
      <c r="I222" s="1" t="s">
        <v>21</v>
      </c>
      <c r="J222" s="1" t="s">
        <v>22</v>
      </c>
      <c r="K222" s="1" t="s">
        <v>137</v>
      </c>
      <c r="L222" s="1" t="s">
        <v>135</v>
      </c>
      <c r="M222" s="1"/>
      <c r="N222" s="1" t="s">
        <v>145</v>
      </c>
      <c r="O222" s="31">
        <v>2</v>
      </c>
      <c r="P222" s="31">
        <v>2</v>
      </c>
      <c r="Q222" s="32">
        <v>1999</v>
      </c>
    </row>
    <row r="223" spans="1:17" x14ac:dyDescent="0.25">
      <c r="A223" s="1" t="s">
        <v>141</v>
      </c>
      <c r="B223" s="31">
        <v>43.8</v>
      </c>
      <c r="C223" s="1" t="s">
        <v>20</v>
      </c>
      <c r="D223" s="2">
        <v>42795</v>
      </c>
      <c r="E223" s="2">
        <v>42795</v>
      </c>
      <c r="F223" s="17">
        <v>1600000</v>
      </c>
      <c r="G223" s="17">
        <v>36529.68</v>
      </c>
      <c r="H223" s="1"/>
      <c r="I223" s="1" t="s">
        <v>21</v>
      </c>
      <c r="J223" s="1" t="s">
        <v>22</v>
      </c>
      <c r="K223" s="1" t="s">
        <v>137</v>
      </c>
      <c r="L223" s="1" t="s">
        <v>135</v>
      </c>
      <c r="M223" s="1"/>
      <c r="N223" s="1" t="s">
        <v>145</v>
      </c>
      <c r="O223" s="31">
        <v>2</v>
      </c>
      <c r="P223" s="31">
        <v>2</v>
      </c>
      <c r="Q223" s="32">
        <v>1999</v>
      </c>
    </row>
    <row r="224" spans="1:17" x14ac:dyDescent="0.25">
      <c r="A224" s="1" t="s">
        <v>141</v>
      </c>
      <c r="B224" s="31">
        <v>30.4</v>
      </c>
      <c r="C224" s="1" t="s">
        <v>20</v>
      </c>
      <c r="D224" s="2">
        <v>42675</v>
      </c>
      <c r="E224" s="2">
        <v>42675</v>
      </c>
      <c r="F224" s="17">
        <v>1116000</v>
      </c>
      <c r="G224" s="17">
        <v>36710.53</v>
      </c>
      <c r="H224" s="1"/>
      <c r="I224" s="1" t="s">
        <v>21</v>
      </c>
      <c r="J224" s="1" t="s">
        <v>22</v>
      </c>
      <c r="K224" s="1" t="s">
        <v>137</v>
      </c>
      <c r="L224" s="1" t="s">
        <v>135</v>
      </c>
      <c r="M224" s="1"/>
      <c r="N224" s="1" t="s">
        <v>142</v>
      </c>
      <c r="O224" s="31">
        <v>5</v>
      </c>
      <c r="P224" s="31">
        <v>1</v>
      </c>
      <c r="Q224" s="32">
        <v>2002</v>
      </c>
    </row>
    <row r="225" spans="1:17" x14ac:dyDescent="0.25">
      <c r="A225" s="1" t="s">
        <v>141</v>
      </c>
      <c r="B225" s="31">
        <v>30</v>
      </c>
      <c r="C225" s="1" t="s">
        <v>20</v>
      </c>
      <c r="D225" s="2">
        <v>42675</v>
      </c>
      <c r="E225" s="2">
        <v>42675</v>
      </c>
      <c r="F225" s="17">
        <v>1144000</v>
      </c>
      <c r="G225" s="17">
        <v>38133.33</v>
      </c>
      <c r="H225" s="1"/>
      <c r="I225" s="1" t="s">
        <v>21</v>
      </c>
      <c r="J225" s="1" t="s">
        <v>22</v>
      </c>
      <c r="K225" s="1" t="s">
        <v>137</v>
      </c>
      <c r="L225" s="1" t="s">
        <v>135</v>
      </c>
      <c r="M225" s="1"/>
      <c r="N225" s="1" t="s">
        <v>145</v>
      </c>
      <c r="O225" s="31">
        <v>3</v>
      </c>
      <c r="P225" s="31">
        <v>2</v>
      </c>
      <c r="Q225" s="32">
        <v>2003</v>
      </c>
    </row>
    <row r="226" spans="1:17" x14ac:dyDescent="0.25">
      <c r="A226" s="1" t="s">
        <v>141</v>
      </c>
      <c r="B226" s="31">
        <v>30</v>
      </c>
      <c r="C226" s="1" t="s">
        <v>20</v>
      </c>
      <c r="D226" s="2">
        <v>42675</v>
      </c>
      <c r="E226" s="2">
        <v>42675</v>
      </c>
      <c r="F226" s="17">
        <v>1144000</v>
      </c>
      <c r="G226" s="17">
        <v>38133.33</v>
      </c>
      <c r="H226" s="1"/>
      <c r="I226" s="1" t="s">
        <v>21</v>
      </c>
      <c r="J226" s="1" t="s">
        <v>22</v>
      </c>
      <c r="K226" s="1" t="s">
        <v>137</v>
      </c>
      <c r="L226" s="1" t="s">
        <v>135</v>
      </c>
      <c r="M226" s="1"/>
      <c r="N226" s="1" t="s">
        <v>145</v>
      </c>
      <c r="O226" s="31">
        <v>3</v>
      </c>
      <c r="P226" s="31">
        <v>2</v>
      </c>
      <c r="Q226" s="32">
        <v>2003</v>
      </c>
    </row>
    <row r="227" spans="1:17" x14ac:dyDescent="0.25">
      <c r="A227" s="1" t="s">
        <v>136</v>
      </c>
      <c r="B227" s="31">
        <v>49.4</v>
      </c>
      <c r="C227" s="1" t="s">
        <v>20</v>
      </c>
      <c r="D227" s="2">
        <v>42705</v>
      </c>
      <c r="E227" s="2">
        <v>42705</v>
      </c>
      <c r="F227" s="17">
        <v>1900000</v>
      </c>
      <c r="G227" s="17">
        <v>38461.54</v>
      </c>
      <c r="H227" s="1"/>
      <c r="I227" s="1" t="s">
        <v>21</v>
      </c>
      <c r="J227" s="1" t="s">
        <v>22</v>
      </c>
      <c r="K227" s="1" t="s">
        <v>137</v>
      </c>
      <c r="L227" s="1" t="s">
        <v>135</v>
      </c>
      <c r="M227" s="1"/>
      <c r="N227" s="1" t="s">
        <v>145</v>
      </c>
      <c r="O227" s="31">
        <v>2</v>
      </c>
      <c r="P227" s="31">
        <v>1</v>
      </c>
      <c r="Q227" s="32">
        <v>2001</v>
      </c>
    </row>
    <row r="228" spans="1:17" x14ac:dyDescent="0.25">
      <c r="A228" s="1" t="s">
        <v>141</v>
      </c>
      <c r="B228" s="31">
        <v>32.799999999999997</v>
      </c>
      <c r="C228" s="1" t="s">
        <v>20</v>
      </c>
      <c r="D228" s="2">
        <v>42736</v>
      </c>
      <c r="E228" s="2">
        <v>42767</v>
      </c>
      <c r="F228" s="17">
        <v>1270000</v>
      </c>
      <c r="G228" s="17">
        <v>38719.51</v>
      </c>
      <c r="H228" s="1"/>
      <c r="I228" s="1" t="s">
        <v>21</v>
      </c>
      <c r="J228" s="1" t="s">
        <v>22</v>
      </c>
      <c r="K228" s="1" t="s">
        <v>137</v>
      </c>
      <c r="L228" s="1" t="s">
        <v>135</v>
      </c>
      <c r="M228" s="1"/>
      <c r="N228" s="1" t="s">
        <v>142</v>
      </c>
      <c r="O228" s="31">
        <v>4</v>
      </c>
      <c r="P228" s="31">
        <v>2</v>
      </c>
      <c r="Q228" s="32">
        <v>2006</v>
      </c>
    </row>
    <row r="229" spans="1:17" x14ac:dyDescent="0.25">
      <c r="A229" s="1" t="s">
        <v>141</v>
      </c>
      <c r="B229" s="31">
        <v>32.799999999999997</v>
      </c>
      <c r="C229" s="1" t="s">
        <v>20</v>
      </c>
      <c r="D229" s="2">
        <v>42736</v>
      </c>
      <c r="E229" s="2">
        <v>42767</v>
      </c>
      <c r="F229" s="17">
        <v>1270000</v>
      </c>
      <c r="G229" s="17">
        <v>38719.51</v>
      </c>
      <c r="H229" s="1"/>
      <c r="I229" s="1" t="s">
        <v>21</v>
      </c>
      <c r="J229" s="1" t="s">
        <v>22</v>
      </c>
      <c r="K229" s="1" t="s">
        <v>137</v>
      </c>
      <c r="L229" s="1" t="s">
        <v>135</v>
      </c>
      <c r="M229" s="1"/>
      <c r="N229" s="1" t="s">
        <v>142</v>
      </c>
      <c r="O229" s="31">
        <v>4</v>
      </c>
      <c r="P229" s="31">
        <v>2</v>
      </c>
      <c r="Q229" s="32">
        <v>2006</v>
      </c>
    </row>
    <row r="230" spans="1:17" x14ac:dyDescent="0.25">
      <c r="A230" s="1" t="s">
        <v>141</v>
      </c>
      <c r="B230" s="31">
        <v>31.9</v>
      </c>
      <c r="C230" s="1" t="s">
        <v>20</v>
      </c>
      <c r="D230" s="2">
        <v>42736</v>
      </c>
      <c r="E230" s="2">
        <v>42736</v>
      </c>
      <c r="F230" s="17">
        <v>1240000</v>
      </c>
      <c r="G230" s="17">
        <v>38871.47</v>
      </c>
      <c r="H230" s="1"/>
      <c r="I230" s="1" t="s">
        <v>21</v>
      </c>
      <c r="J230" s="1" t="s">
        <v>22</v>
      </c>
      <c r="K230" s="1" t="s">
        <v>137</v>
      </c>
      <c r="L230" s="1" t="s">
        <v>135</v>
      </c>
      <c r="M230" s="1"/>
      <c r="N230" s="1" t="s">
        <v>128</v>
      </c>
      <c r="O230" s="31">
        <v>5</v>
      </c>
      <c r="P230" s="31">
        <v>1</v>
      </c>
      <c r="Q230" s="32">
        <v>2007</v>
      </c>
    </row>
    <row r="231" spans="1:17" s="9" customFormat="1" ht="15.75" thickBot="1" x14ac:dyDescent="0.3">
      <c r="A231" s="25"/>
      <c r="B231" s="33"/>
      <c r="C231" s="25"/>
      <c r="D231" s="25"/>
      <c r="E231" s="25"/>
      <c r="F231" s="26"/>
      <c r="G231" s="26">
        <f>SUM(G177:G230)/54</f>
        <v>30896.43037037037</v>
      </c>
      <c r="H231" s="25"/>
      <c r="I231" s="25"/>
      <c r="J231" s="25"/>
      <c r="K231" s="25"/>
      <c r="L231" s="25"/>
      <c r="M231" s="25"/>
      <c r="N231" s="25"/>
      <c r="O231" s="33"/>
      <c r="P231" s="33"/>
      <c r="Q231" s="34"/>
    </row>
    <row r="232" spans="1:17" s="6" customFormat="1" x14ac:dyDescent="0.25">
      <c r="A232" s="4" t="s">
        <v>150</v>
      </c>
      <c r="B232" s="35"/>
      <c r="C232" s="5"/>
      <c r="D232" s="5"/>
      <c r="E232" s="5"/>
      <c r="F232" s="19"/>
      <c r="G232" s="19"/>
      <c r="H232" s="5"/>
      <c r="I232" s="5"/>
      <c r="J232" s="5"/>
      <c r="K232" s="5"/>
      <c r="L232" s="5"/>
      <c r="M232" s="5"/>
      <c r="N232" s="5"/>
      <c r="O232" s="35"/>
      <c r="P232" s="35"/>
      <c r="Q232" s="36"/>
    </row>
    <row r="233" spans="1:17" x14ac:dyDescent="0.25">
      <c r="A233" s="7" t="s">
        <v>151</v>
      </c>
      <c r="B233" s="41">
        <v>38.200000000000003</v>
      </c>
      <c r="C233" s="7" t="s">
        <v>20</v>
      </c>
      <c r="D233" s="8">
        <v>42795</v>
      </c>
      <c r="E233" s="8">
        <v>42795</v>
      </c>
      <c r="F233" s="18">
        <v>454000</v>
      </c>
      <c r="G233" s="18">
        <v>11884.82</v>
      </c>
      <c r="H233" s="7"/>
      <c r="I233" s="7" t="s">
        <v>21</v>
      </c>
      <c r="J233" s="7" t="s">
        <v>32</v>
      </c>
      <c r="K233" s="7" t="s">
        <v>152</v>
      </c>
      <c r="L233" s="7"/>
      <c r="M233" s="7" t="s">
        <v>150</v>
      </c>
      <c r="N233" s="7" t="s">
        <v>153</v>
      </c>
      <c r="O233" s="41">
        <v>1</v>
      </c>
      <c r="P233" s="41">
        <v>1</v>
      </c>
      <c r="Q233" s="42">
        <v>2001</v>
      </c>
    </row>
    <row r="234" spans="1:17" ht="15.75" thickBot="1" x14ac:dyDescent="0.3">
      <c r="A234" s="20"/>
      <c r="B234" s="43"/>
      <c r="C234" s="21"/>
      <c r="D234" s="22"/>
      <c r="E234" s="22"/>
      <c r="F234" s="23"/>
      <c r="G234" s="23">
        <f>SUM(G233)</f>
        <v>11884.82</v>
      </c>
      <c r="H234" s="21"/>
      <c r="I234" s="21"/>
      <c r="J234" s="21"/>
      <c r="K234" s="21"/>
      <c r="L234" s="21"/>
      <c r="M234" s="21"/>
      <c r="N234" s="21"/>
      <c r="O234" s="43"/>
      <c r="P234" s="43"/>
      <c r="Q234" s="44"/>
    </row>
    <row r="235" spans="1:17" s="6" customFormat="1" x14ac:dyDescent="0.25">
      <c r="A235" s="4" t="s">
        <v>154</v>
      </c>
      <c r="B235" s="35"/>
      <c r="C235" s="5"/>
      <c r="D235" s="5"/>
      <c r="E235" s="5"/>
      <c r="F235" s="19"/>
      <c r="G235" s="19"/>
      <c r="H235" s="5"/>
      <c r="I235" s="5"/>
      <c r="J235" s="5"/>
      <c r="K235" s="5"/>
      <c r="L235" s="5"/>
      <c r="M235" s="5"/>
      <c r="N235" s="5"/>
      <c r="O235" s="35"/>
      <c r="P235" s="35"/>
      <c r="Q235" s="36"/>
    </row>
    <row r="236" spans="1:17" x14ac:dyDescent="0.25">
      <c r="A236" s="1" t="s">
        <v>158</v>
      </c>
      <c r="B236" s="31">
        <v>42.5</v>
      </c>
      <c r="C236" s="1" t="s">
        <v>20</v>
      </c>
      <c r="D236" s="2">
        <v>42644</v>
      </c>
      <c r="E236" s="2">
        <v>42675</v>
      </c>
      <c r="F236" s="17">
        <v>961250</v>
      </c>
      <c r="G236" s="17">
        <v>22617.65</v>
      </c>
      <c r="H236" s="1"/>
      <c r="I236" s="1" t="s">
        <v>21</v>
      </c>
      <c r="J236" s="1" t="s">
        <v>18</v>
      </c>
      <c r="K236" s="1" t="s">
        <v>156</v>
      </c>
      <c r="L236" s="1"/>
      <c r="M236" s="1" t="s">
        <v>154</v>
      </c>
      <c r="N236" s="1" t="s">
        <v>159</v>
      </c>
      <c r="O236" s="31">
        <v>1</v>
      </c>
      <c r="P236" s="31">
        <v>1</v>
      </c>
      <c r="Q236" s="32">
        <v>2016</v>
      </c>
    </row>
    <row r="237" spans="1:17" x14ac:dyDescent="0.25">
      <c r="A237" s="1" t="s">
        <v>158</v>
      </c>
      <c r="B237" s="31">
        <v>42</v>
      </c>
      <c r="C237" s="1" t="s">
        <v>20</v>
      </c>
      <c r="D237" s="2">
        <v>42614</v>
      </c>
      <c r="E237" s="2">
        <v>42644</v>
      </c>
      <c r="F237" s="17">
        <v>988300</v>
      </c>
      <c r="G237" s="17">
        <v>23530.95</v>
      </c>
      <c r="H237" s="1"/>
      <c r="I237" s="1" t="s">
        <v>21</v>
      </c>
      <c r="J237" s="1" t="s">
        <v>18</v>
      </c>
      <c r="K237" s="1" t="s">
        <v>156</v>
      </c>
      <c r="L237" s="1"/>
      <c r="M237" s="1" t="s">
        <v>154</v>
      </c>
      <c r="N237" s="1" t="s">
        <v>159</v>
      </c>
      <c r="O237" s="31">
        <v>1</v>
      </c>
      <c r="P237" s="31">
        <v>1</v>
      </c>
      <c r="Q237" s="32">
        <v>2016</v>
      </c>
    </row>
    <row r="238" spans="1:17" x14ac:dyDescent="0.25">
      <c r="A238" s="1" t="s">
        <v>158</v>
      </c>
      <c r="B238" s="31">
        <v>42.1</v>
      </c>
      <c r="C238" s="1" t="s">
        <v>20</v>
      </c>
      <c r="D238" s="2">
        <v>42644</v>
      </c>
      <c r="E238" s="2">
        <v>42675</v>
      </c>
      <c r="F238" s="17">
        <v>998300</v>
      </c>
      <c r="G238" s="17">
        <v>23712.59</v>
      </c>
      <c r="H238" s="1"/>
      <c r="I238" s="1" t="s">
        <v>21</v>
      </c>
      <c r="J238" s="1" t="s">
        <v>18</v>
      </c>
      <c r="K238" s="1" t="s">
        <v>156</v>
      </c>
      <c r="L238" s="1"/>
      <c r="M238" s="1" t="s">
        <v>154</v>
      </c>
      <c r="N238" s="1" t="s">
        <v>159</v>
      </c>
      <c r="O238" s="31">
        <v>1</v>
      </c>
      <c r="P238" s="31">
        <v>1</v>
      </c>
      <c r="Q238" s="32">
        <v>2016</v>
      </c>
    </row>
    <row r="239" spans="1:17" x14ac:dyDescent="0.25">
      <c r="A239" s="1" t="s">
        <v>158</v>
      </c>
      <c r="B239" s="31">
        <v>41.2</v>
      </c>
      <c r="C239" s="1" t="s">
        <v>20</v>
      </c>
      <c r="D239" s="2">
        <v>42705</v>
      </c>
      <c r="E239" s="2">
        <v>42795</v>
      </c>
      <c r="F239" s="17">
        <v>980000</v>
      </c>
      <c r="G239" s="17">
        <v>23786.41</v>
      </c>
      <c r="H239" s="1"/>
      <c r="I239" s="1" t="s">
        <v>21</v>
      </c>
      <c r="J239" s="1" t="s">
        <v>18</v>
      </c>
      <c r="K239" s="1" t="s">
        <v>156</v>
      </c>
      <c r="L239" s="1"/>
      <c r="M239" s="1" t="s">
        <v>154</v>
      </c>
      <c r="N239" s="1" t="s">
        <v>159</v>
      </c>
      <c r="O239" s="31">
        <v>3</v>
      </c>
      <c r="P239" s="31">
        <v>1</v>
      </c>
      <c r="Q239" s="32">
        <v>2016</v>
      </c>
    </row>
    <row r="240" spans="1:17" x14ac:dyDescent="0.25">
      <c r="A240" s="1" t="s">
        <v>158</v>
      </c>
      <c r="B240" s="31">
        <v>41.3</v>
      </c>
      <c r="C240" s="1" t="s">
        <v>20</v>
      </c>
      <c r="D240" s="2">
        <v>42644</v>
      </c>
      <c r="E240" s="2">
        <v>42644</v>
      </c>
      <c r="F240" s="17">
        <v>982680</v>
      </c>
      <c r="G240" s="17">
        <v>23793.7</v>
      </c>
      <c r="H240" s="1"/>
      <c r="I240" s="1" t="s">
        <v>21</v>
      </c>
      <c r="J240" s="1" t="s">
        <v>18</v>
      </c>
      <c r="K240" s="1" t="s">
        <v>156</v>
      </c>
      <c r="L240" s="1"/>
      <c r="M240" s="1" t="s">
        <v>154</v>
      </c>
      <c r="N240" s="1" t="s">
        <v>159</v>
      </c>
      <c r="O240" s="31">
        <v>1</v>
      </c>
      <c r="P240" s="31">
        <v>2</v>
      </c>
      <c r="Q240" s="32">
        <v>2016</v>
      </c>
    </row>
    <row r="241" spans="1:17" x14ac:dyDescent="0.25">
      <c r="A241" s="1" t="s">
        <v>158</v>
      </c>
      <c r="B241" s="31">
        <v>41.3</v>
      </c>
      <c r="C241" s="1" t="s">
        <v>20</v>
      </c>
      <c r="D241" s="2">
        <v>42644</v>
      </c>
      <c r="E241" s="2">
        <v>42644</v>
      </c>
      <c r="F241" s="17">
        <v>982680</v>
      </c>
      <c r="G241" s="17">
        <v>23793.7</v>
      </c>
      <c r="H241" s="1"/>
      <c r="I241" s="1" t="s">
        <v>21</v>
      </c>
      <c r="J241" s="1" t="s">
        <v>18</v>
      </c>
      <c r="K241" s="1" t="s">
        <v>156</v>
      </c>
      <c r="L241" s="1"/>
      <c r="M241" s="1" t="s">
        <v>154</v>
      </c>
      <c r="N241" s="1" t="s">
        <v>159</v>
      </c>
      <c r="O241" s="31">
        <v>1</v>
      </c>
      <c r="P241" s="31">
        <v>2</v>
      </c>
      <c r="Q241" s="32">
        <v>2016</v>
      </c>
    </row>
    <row r="242" spans="1:17" x14ac:dyDescent="0.25">
      <c r="A242" s="1" t="s">
        <v>161</v>
      </c>
      <c r="B242" s="31">
        <v>15.6</v>
      </c>
      <c r="C242" s="1" t="s">
        <v>20</v>
      </c>
      <c r="D242" s="2">
        <v>42767</v>
      </c>
      <c r="E242" s="2">
        <v>42767</v>
      </c>
      <c r="F242" s="17">
        <v>453026</v>
      </c>
      <c r="G242" s="17">
        <v>29040.13</v>
      </c>
      <c r="H242" s="1"/>
      <c r="I242" s="1" t="s">
        <v>21</v>
      </c>
      <c r="J242" s="1" t="s">
        <v>22</v>
      </c>
      <c r="K242" s="1" t="s">
        <v>156</v>
      </c>
      <c r="L242" s="1"/>
      <c r="M242" s="1" t="s">
        <v>154</v>
      </c>
      <c r="N242" s="1" t="s">
        <v>157</v>
      </c>
      <c r="O242" s="31">
        <v>1</v>
      </c>
      <c r="P242" s="31">
        <v>1</v>
      </c>
      <c r="Q242" s="32">
        <v>2010</v>
      </c>
    </row>
    <row r="243" spans="1:17" x14ac:dyDescent="0.25">
      <c r="A243" s="1" t="s">
        <v>158</v>
      </c>
      <c r="B243" s="31">
        <v>41.6</v>
      </c>
      <c r="C243" s="1" t="s">
        <v>20</v>
      </c>
      <c r="D243" s="2">
        <v>42767</v>
      </c>
      <c r="E243" s="2">
        <v>42767</v>
      </c>
      <c r="F243" s="17">
        <v>1230000</v>
      </c>
      <c r="G243" s="17">
        <v>29567.31</v>
      </c>
      <c r="H243" s="1"/>
      <c r="I243" s="1" t="s">
        <v>21</v>
      </c>
      <c r="J243" s="1" t="s">
        <v>18</v>
      </c>
      <c r="K243" s="1" t="s">
        <v>156</v>
      </c>
      <c r="L243" s="1"/>
      <c r="M243" s="1" t="s">
        <v>154</v>
      </c>
      <c r="N243" s="1" t="s">
        <v>160</v>
      </c>
      <c r="O243" s="31">
        <v>2</v>
      </c>
      <c r="P243" s="31">
        <v>1</v>
      </c>
      <c r="Q243" s="32">
        <v>2015</v>
      </c>
    </row>
    <row r="244" spans="1:17" x14ac:dyDescent="0.25">
      <c r="A244" s="1" t="s">
        <v>158</v>
      </c>
      <c r="B244" s="31">
        <v>41</v>
      </c>
      <c r="C244" s="1" t="s">
        <v>20</v>
      </c>
      <c r="D244" s="2">
        <v>42644</v>
      </c>
      <c r="E244" s="2">
        <v>42675</v>
      </c>
      <c r="F244" s="17">
        <v>1219800</v>
      </c>
      <c r="G244" s="17">
        <v>29751.22</v>
      </c>
      <c r="H244" s="1"/>
      <c r="I244" s="1" t="s">
        <v>21</v>
      </c>
      <c r="J244" s="1" t="s">
        <v>18</v>
      </c>
      <c r="K244" s="1" t="s">
        <v>156</v>
      </c>
      <c r="L244" s="1"/>
      <c r="M244" s="1" t="s">
        <v>154</v>
      </c>
      <c r="N244" s="1" t="s">
        <v>159</v>
      </c>
      <c r="O244" s="31">
        <v>2</v>
      </c>
      <c r="P244" s="31">
        <v>2</v>
      </c>
      <c r="Q244" s="32">
        <v>2016</v>
      </c>
    </row>
    <row r="245" spans="1:17" x14ac:dyDescent="0.25">
      <c r="A245" s="1" t="s">
        <v>158</v>
      </c>
      <c r="B245" s="31">
        <v>41</v>
      </c>
      <c r="C245" s="1" t="s">
        <v>20</v>
      </c>
      <c r="D245" s="2">
        <v>42644</v>
      </c>
      <c r="E245" s="2">
        <v>42675</v>
      </c>
      <c r="F245" s="17">
        <v>1219800</v>
      </c>
      <c r="G245" s="17">
        <v>29751.22</v>
      </c>
      <c r="H245" s="1"/>
      <c r="I245" s="1" t="s">
        <v>21</v>
      </c>
      <c r="J245" s="1" t="s">
        <v>18</v>
      </c>
      <c r="K245" s="1" t="s">
        <v>156</v>
      </c>
      <c r="L245" s="1"/>
      <c r="M245" s="1" t="s">
        <v>154</v>
      </c>
      <c r="N245" s="1" t="s">
        <v>159</v>
      </c>
      <c r="O245" s="31">
        <v>2</v>
      </c>
      <c r="P245" s="31">
        <v>2</v>
      </c>
      <c r="Q245" s="32">
        <v>2016</v>
      </c>
    </row>
    <row r="246" spans="1:17" x14ac:dyDescent="0.25">
      <c r="A246" s="1" t="s">
        <v>155</v>
      </c>
      <c r="B246" s="31">
        <v>47.4</v>
      </c>
      <c r="C246" s="1" t="s">
        <v>20</v>
      </c>
      <c r="D246" s="2">
        <v>42614</v>
      </c>
      <c r="E246" s="2">
        <v>42644</v>
      </c>
      <c r="F246" s="17">
        <v>1500000</v>
      </c>
      <c r="G246" s="17">
        <v>31645.57</v>
      </c>
      <c r="H246" s="1"/>
      <c r="I246" s="1" t="s">
        <v>21</v>
      </c>
      <c r="J246" s="1" t="s">
        <v>22</v>
      </c>
      <c r="K246" s="1" t="s">
        <v>156</v>
      </c>
      <c r="L246" s="1"/>
      <c r="M246" s="1" t="s">
        <v>154</v>
      </c>
      <c r="N246" s="1" t="s">
        <v>157</v>
      </c>
      <c r="O246" s="31">
        <v>1</v>
      </c>
      <c r="P246" s="31">
        <v>2</v>
      </c>
      <c r="Q246" s="32">
        <v>2005</v>
      </c>
    </row>
    <row r="247" spans="1:17" x14ac:dyDescent="0.25">
      <c r="A247" s="1" t="s">
        <v>155</v>
      </c>
      <c r="B247" s="31">
        <v>47.4</v>
      </c>
      <c r="C247" s="1" t="s">
        <v>20</v>
      </c>
      <c r="D247" s="2">
        <v>42614</v>
      </c>
      <c r="E247" s="2">
        <v>42644</v>
      </c>
      <c r="F247" s="17">
        <v>1500000</v>
      </c>
      <c r="G247" s="17">
        <v>31645.57</v>
      </c>
      <c r="H247" s="1"/>
      <c r="I247" s="1" t="s">
        <v>21</v>
      </c>
      <c r="J247" s="1" t="s">
        <v>22</v>
      </c>
      <c r="K247" s="1" t="s">
        <v>156</v>
      </c>
      <c r="L247" s="1"/>
      <c r="M247" s="1" t="s">
        <v>154</v>
      </c>
      <c r="N247" s="1" t="s">
        <v>157</v>
      </c>
      <c r="O247" s="31">
        <v>1</v>
      </c>
      <c r="P247" s="31">
        <v>2</v>
      </c>
      <c r="Q247" s="32">
        <v>2005</v>
      </c>
    </row>
    <row r="248" spans="1:17" s="9" customFormat="1" ht="15.75" thickBot="1" x14ac:dyDescent="0.3">
      <c r="A248" s="25"/>
      <c r="B248" s="33"/>
      <c r="C248" s="25"/>
      <c r="D248" s="25"/>
      <c r="E248" s="25"/>
      <c r="F248" s="26"/>
      <c r="G248" s="26">
        <f>SUM(G236:G247)/12</f>
        <v>26886.335000000003</v>
      </c>
      <c r="H248" s="25"/>
      <c r="I248" s="25"/>
      <c r="J248" s="25"/>
      <c r="K248" s="25"/>
      <c r="L248" s="25"/>
      <c r="M248" s="25"/>
      <c r="N248" s="25"/>
      <c r="O248" s="33"/>
      <c r="P248" s="33"/>
      <c r="Q248" s="34"/>
    </row>
    <row r="249" spans="1:17" s="6" customFormat="1" x14ac:dyDescent="0.25">
      <c r="A249" s="4" t="s">
        <v>162</v>
      </c>
      <c r="B249" s="35"/>
      <c r="C249" s="5"/>
      <c r="D249" s="5"/>
      <c r="E249" s="5"/>
      <c r="F249" s="19"/>
      <c r="G249" s="19"/>
      <c r="H249" s="5"/>
      <c r="I249" s="5"/>
      <c r="J249" s="5"/>
      <c r="K249" s="5"/>
      <c r="L249" s="5"/>
      <c r="M249" s="5"/>
      <c r="N249" s="5"/>
      <c r="O249" s="35"/>
      <c r="P249" s="35"/>
      <c r="Q249" s="36"/>
    </row>
    <row r="250" spans="1:17" x14ac:dyDescent="0.25">
      <c r="A250" s="1" t="s">
        <v>163</v>
      </c>
      <c r="B250" s="31">
        <v>34.9</v>
      </c>
      <c r="C250" s="1" t="s">
        <v>20</v>
      </c>
      <c r="D250" s="2">
        <v>42675</v>
      </c>
      <c r="E250" s="2">
        <v>42675</v>
      </c>
      <c r="F250" s="17">
        <v>500000</v>
      </c>
      <c r="G250" s="17">
        <v>14326.65</v>
      </c>
      <c r="H250" s="1"/>
      <c r="I250" s="1" t="s">
        <v>21</v>
      </c>
      <c r="J250" s="1" t="s">
        <v>32</v>
      </c>
      <c r="K250" s="1" t="s">
        <v>164</v>
      </c>
      <c r="L250" s="1"/>
      <c r="M250" s="1" t="s">
        <v>162</v>
      </c>
      <c r="N250" s="1" t="s">
        <v>138</v>
      </c>
      <c r="O250" s="31">
        <v>3</v>
      </c>
      <c r="P250" s="31">
        <v>1</v>
      </c>
      <c r="Q250" s="32">
        <v>2016</v>
      </c>
    </row>
    <row r="251" spans="1:17" x14ac:dyDescent="0.25">
      <c r="A251" s="1" t="s">
        <v>163</v>
      </c>
      <c r="B251" s="31">
        <v>33.799999999999997</v>
      </c>
      <c r="C251" s="1" t="s">
        <v>20</v>
      </c>
      <c r="D251" s="2">
        <v>42795</v>
      </c>
      <c r="E251" s="2">
        <v>42795</v>
      </c>
      <c r="F251" s="17">
        <v>495000</v>
      </c>
      <c r="G251" s="17">
        <v>14644.97</v>
      </c>
      <c r="H251" s="1"/>
      <c r="I251" s="1" t="s">
        <v>21</v>
      </c>
      <c r="J251" s="1" t="s">
        <v>32</v>
      </c>
      <c r="K251" s="1" t="s">
        <v>164</v>
      </c>
      <c r="L251" s="1"/>
      <c r="M251" s="1" t="s">
        <v>162</v>
      </c>
      <c r="N251" s="1" t="s">
        <v>138</v>
      </c>
      <c r="O251" s="31">
        <v>3</v>
      </c>
      <c r="P251" s="31">
        <v>1</v>
      </c>
      <c r="Q251" s="32">
        <v>2016</v>
      </c>
    </row>
    <row r="252" spans="1:17" x14ac:dyDescent="0.25">
      <c r="A252" s="1" t="s">
        <v>163</v>
      </c>
      <c r="B252" s="31">
        <v>57.8</v>
      </c>
      <c r="C252" s="1" t="s">
        <v>20</v>
      </c>
      <c r="D252" s="2">
        <v>42795</v>
      </c>
      <c r="E252" s="2">
        <v>42795</v>
      </c>
      <c r="F252" s="17">
        <v>1231000</v>
      </c>
      <c r="G252" s="17">
        <v>21297.58</v>
      </c>
      <c r="H252" s="1"/>
      <c r="I252" s="1" t="s">
        <v>21</v>
      </c>
      <c r="J252" s="1" t="s">
        <v>32</v>
      </c>
      <c r="K252" s="1" t="s">
        <v>164</v>
      </c>
      <c r="L252" s="1"/>
      <c r="M252" s="1" t="s">
        <v>162</v>
      </c>
      <c r="N252" s="1" t="s">
        <v>168</v>
      </c>
      <c r="O252" s="31">
        <v>2</v>
      </c>
      <c r="P252" s="31">
        <v>1</v>
      </c>
      <c r="Q252" s="32">
        <v>2002</v>
      </c>
    </row>
    <row r="253" spans="1:17" x14ac:dyDescent="0.25">
      <c r="A253" s="1" t="s">
        <v>163</v>
      </c>
      <c r="B253" s="31">
        <v>55</v>
      </c>
      <c r="C253" s="1" t="s">
        <v>20</v>
      </c>
      <c r="D253" s="2">
        <v>42795</v>
      </c>
      <c r="E253" s="2">
        <v>42795</v>
      </c>
      <c r="F253" s="17">
        <v>1320000</v>
      </c>
      <c r="G253" s="17">
        <v>24000</v>
      </c>
      <c r="H253" s="1"/>
      <c r="I253" s="1" t="s">
        <v>21</v>
      </c>
      <c r="J253" s="1" t="s">
        <v>32</v>
      </c>
      <c r="K253" s="1" t="s">
        <v>164</v>
      </c>
      <c r="L253" s="1"/>
      <c r="M253" s="1" t="s">
        <v>162</v>
      </c>
      <c r="N253" s="1" t="s">
        <v>167</v>
      </c>
      <c r="O253" s="31">
        <v>1</v>
      </c>
      <c r="P253" s="31">
        <v>1</v>
      </c>
      <c r="Q253" s="32">
        <v>2015</v>
      </c>
    </row>
    <row r="254" spans="1:17" x14ac:dyDescent="0.25">
      <c r="A254" s="1" t="s">
        <v>165</v>
      </c>
      <c r="B254" s="31">
        <v>33.4</v>
      </c>
      <c r="C254" s="1" t="s">
        <v>20</v>
      </c>
      <c r="D254" s="2">
        <v>42767</v>
      </c>
      <c r="E254" s="2">
        <v>42767</v>
      </c>
      <c r="F254" s="17">
        <v>942400</v>
      </c>
      <c r="G254" s="17">
        <v>28215.57</v>
      </c>
      <c r="H254" s="1"/>
      <c r="I254" s="1" t="s">
        <v>21</v>
      </c>
      <c r="J254" s="1" t="s">
        <v>32</v>
      </c>
      <c r="K254" s="1" t="s">
        <v>164</v>
      </c>
      <c r="L254" s="1"/>
      <c r="M254" s="1" t="s">
        <v>162</v>
      </c>
      <c r="N254" s="1" t="s">
        <v>166</v>
      </c>
      <c r="O254" s="31">
        <v>1</v>
      </c>
      <c r="P254" s="31">
        <v>1</v>
      </c>
      <c r="Q254" s="32">
        <v>2015</v>
      </c>
    </row>
    <row r="255" spans="1:17" s="9" customFormat="1" ht="15.75" thickBot="1" x14ac:dyDescent="0.3">
      <c r="A255" s="25"/>
      <c r="B255" s="33"/>
      <c r="C255" s="25"/>
      <c r="D255" s="25"/>
      <c r="E255" s="25"/>
      <c r="F255" s="26"/>
      <c r="G255" s="26">
        <f>SUM(G250:G254)/5</f>
        <v>20496.953999999998</v>
      </c>
      <c r="H255" s="25"/>
      <c r="I255" s="25"/>
      <c r="J255" s="25"/>
      <c r="K255" s="25"/>
      <c r="L255" s="25"/>
      <c r="M255" s="25"/>
      <c r="N255" s="25"/>
      <c r="O255" s="33"/>
      <c r="P255" s="33"/>
      <c r="Q255" s="34"/>
    </row>
    <row r="256" spans="1:17" s="6" customFormat="1" x14ac:dyDescent="0.25">
      <c r="A256" s="4" t="s">
        <v>169</v>
      </c>
      <c r="B256" s="35"/>
      <c r="C256" s="5"/>
      <c r="D256" s="5"/>
      <c r="E256" s="5"/>
      <c r="F256" s="19"/>
      <c r="G256" s="19"/>
      <c r="H256" s="5"/>
      <c r="I256" s="5"/>
      <c r="J256" s="5"/>
      <c r="K256" s="5"/>
      <c r="L256" s="5"/>
      <c r="M256" s="5"/>
      <c r="N256" s="5"/>
      <c r="O256" s="35"/>
      <c r="P256" s="35"/>
      <c r="Q256" s="36"/>
    </row>
    <row r="257" spans="1:17" x14ac:dyDescent="0.25">
      <c r="A257" s="1" t="s">
        <v>170</v>
      </c>
      <c r="B257" s="31">
        <v>40.700000000000003</v>
      </c>
      <c r="C257" s="1" t="s">
        <v>20</v>
      </c>
      <c r="D257" s="2">
        <v>42644</v>
      </c>
      <c r="E257" s="2">
        <v>42675</v>
      </c>
      <c r="F257" s="17">
        <v>1000000</v>
      </c>
      <c r="G257" s="17">
        <v>24570.02</v>
      </c>
      <c r="H257" s="1"/>
      <c r="I257" s="1" t="s">
        <v>21</v>
      </c>
      <c r="J257" s="1" t="s">
        <v>22</v>
      </c>
      <c r="K257" s="1" t="s">
        <v>171</v>
      </c>
      <c r="L257" s="1"/>
      <c r="M257" s="1" t="s">
        <v>169</v>
      </c>
      <c r="N257" s="1" t="s">
        <v>62</v>
      </c>
      <c r="O257" s="31">
        <v>1</v>
      </c>
      <c r="P257" s="31">
        <v>2</v>
      </c>
      <c r="Q257" s="32">
        <v>2014</v>
      </c>
    </row>
    <row r="258" spans="1:17" x14ac:dyDescent="0.25">
      <c r="A258" s="1" t="s">
        <v>170</v>
      </c>
      <c r="B258" s="31">
        <v>40.700000000000003</v>
      </c>
      <c r="C258" s="1" t="s">
        <v>20</v>
      </c>
      <c r="D258" s="2">
        <v>42644</v>
      </c>
      <c r="E258" s="2">
        <v>42675</v>
      </c>
      <c r="F258" s="17">
        <v>1000000</v>
      </c>
      <c r="G258" s="17">
        <v>24570.02</v>
      </c>
      <c r="H258" s="1"/>
      <c r="I258" s="1" t="s">
        <v>21</v>
      </c>
      <c r="J258" s="1" t="s">
        <v>22</v>
      </c>
      <c r="K258" s="1" t="s">
        <v>171</v>
      </c>
      <c r="L258" s="1"/>
      <c r="M258" s="1" t="s">
        <v>169</v>
      </c>
      <c r="N258" s="1" t="s">
        <v>62</v>
      </c>
      <c r="O258" s="31">
        <v>1</v>
      </c>
      <c r="P258" s="31">
        <v>2</v>
      </c>
      <c r="Q258" s="32">
        <v>2014</v>
      </c>
    </row>
    <row r="259" spans="1:17" s="9" customFormat="1" ht="15.75" thickBot="1" x14ac:dyDescent="0.3">
      <c r="A259" s="25"/>
      <c r="B259" s="33"/>
      <c r="C259" s="25"/>
      <c r="D259" s="25"/>
      <c r="E259" s="25"/>
      <c r="F259" s="26"/>
      <c r="G259" s="26">
        <f>SUM(G257:G258)/2</f>
        <v>24570.02</v>
      </c>
      <c r="H259" s="25"/>
      <c r="I259" s="25"/>
      <c r="J259" s="25"/>
      <c r="K259" s="25"/>
      <c r="L259" s="25"/>
      <c r="M259" s="25"/>
      <c r="N259" s="25"/>
      <c r="O259" s="33"/>
      <c r="P259" s="33"/>
      <c r="Q259" s="34"/>
    </row>
    <row r="260" spans="1:17" s="6" customFormat="1" x14ac:dyDescent="0.25">
      <c r="A260" s="4" t="s">
        <v>172</v>
      </c>
      <c r="B260" s="35"/>
      <c r="C260" s="5"/>
      <c r="D260" s="5"/>
      <c r="E260" s="5"/>
      <c r="F260" s="19"/>
      <c r="G260" s="19"/>
      <c r="H260" s="5"/>
      <c r="I260" s="5"/>
      <c r="J260" s="5"/>
      <c r="K260" s="5"/>
      <c r="L260" s="5"/>
      <c r="M260" s="5"/>
      <c r="N260" s="5"/>
      <c r="O260" s="35"/>
      <c r="P260" s="35"/>
      <c r="Q260" s="36"/>
    </row>
    <row r="261" spans="1:17" x14ac:dyDescent="0.25">
      <c r="A261" s="1" t="s">
        <v>199</v>
      </c>
      <c r="B261" s="31">
        <v>56.6</v>
      </c>
      <c r="C261" s="1" t="s">
        <v>20</v>
      </c>
      <c r="D261" s="2">
        <v>42644</v>
      </c>
      <c r="E261" s="2">
        <v>42644</v>
      </c>
      <c r="F261" s="17">
        <v>1190000</v>
      </c>
      <c r="G261" s="17">
        <v>21024.74</v>
      </c>
      <c r="H261" s="1"/>
      <c r="I261" s="1" t="s">
        <v>21</v>
      </c>
      <c r="J261" s="1" t="s">
        <v>22</v>
      </c>
      <c r="K261" s="1"/>
      <c r="L261" s="1" t="s">
        <v>172</v>
      </c>
      <c r="M261" s="1"/>
      <c r="N261" s="1" t="s">
        <v>200</v>
      </c>
      <c r="O261" s="31">
        <v>1</v>
      </c>
      <c r="P261" s="31">
        <v>1</v>
      </c>
      <c r="Q261" s="32">
        <v>2008</v>
      </c>
    </row>
    <row r="262" spans="1:17" x14ac:dyDescent="0.25">
      <c r="A262" s="1" t="s">
        <v>202</v>
      </c>
      <c r="B262" s="31">
        <v>128</v>
      </c>
      <c r="C262" s="1" t="s">
        <v>20</v>
      </c>
      <c r="D262" s="2">
        <v>42705</v>
      </c>
      <c r="E262" s="2">
        <v>42705</v>
      </c>
      <c r="F262" s="17">
        <v>2700000</v>
      </c>
      <c r="G262" s="17">
        <v>21093.75</v>
      </c>
      <c r="H262" s="1"/>
      <c r="I262" s="1" t="s">
        <v>21</v>
      </c>
      <c r="J262" s="1" t="s">
        <v>22</v>
      </c>
      <c r="K262" s="1"/>
      <c r="L262" s="1" t="s">
        <v>172</v>
      </c>
      <c r="M262" s="1"/>
      <c r="N262" s="1" t="s">
        <v>90</v>
      </c>
      <c r="O262" s="31" t="s">
        <v>212</v>
      </c>
      <c r="P262" s="31">
        <v>1</v>
      </c>
      <c r="Q262" s="32">
        <v>2004</v>
      </c>
    </row>
    <row r="263" spans="1:17" x14ac:dyDescent="0.25">
      <c r="A263" s="1" t="s">
        <v>182</v>
      </c>
      <c r="B263" s="31">
        <v>48.5</v>
      </c>
      <c r="C263" s="1" t="s">
        <v>20</v>
      </c>
      <c r="D263" s="2">
        <v>42736</v>
      </c>
      <c r="E263" s="2">
        <v>42736</v>
      </c>
      <c r="F263" s="17">
        <v>1040000</v>
      </c>
      <c r="G263" s="17">
        <v>21443.3</v>
      </c>
      <c r="H263" s="1"/>
      <c r="I263" s="1" t="s">
        <v>21</v>
      </c>
      <c r="J263" s="1" t="s">
        <v>22</v>
      </c>
      <c r="K263" s="1"/>
      <c r="L263" s="1" t="s">
        <v>172</v>
      </c>
      <c r="M263" s="1"/>
      <c r="N263" s="1" t="s">
        <v>183</v>
      </c>
      <c r="O263" s="31">
        <v>5</v>
      </c>
      <c r="P263" s="31">
        <v>1</v>
      </c>
      <c r="Q263" s="32">
        <v>2006</v>
      </c>
    </row>
    <row r="264" spans="1:17" x14ac:dyDescent="0.25">
      <c r="A264" s="1" t="s">
        <v>173</v>
      </c>
      <c r="B264" s="31">
        <v>32.299999999999997</v>
      </c>
      <c r="C264" s="1" t="s">
        <v>20</v>
      </c>
      <c r="D264" s="2">
        <v>42644</v>
      </c>
      <c r="E264" s="2">
        <v>42644</v>
      </c>
      <c r="F264" s="17">
        <v>700000</v>
      </c>
      <c r="G264" s="17">
        <v>21671.83</v>
      </c>
      <c r="H264" s="1"/>
      <c r="I264" s="1" t="s">
        <v>21</v>
      </c>
      <c r="J264" s="1" t="s">
        <v>22</v>
      </c>
      <c r="K264" s="1"/>
      <c r="L264" s="1" t="s">
        <v>172</v>
      </c>
      <c r="M264" s="1"/>
      <c r="N264" s="1" t="s">
        <v>187</v>
      </c>
      <c r="O264" s="31">
        <v>5</v>
      </c>
      <c r="P264" s="31">
        <v>1</v>
      </c>
      <c r="Q264" s="32">
        <v>2000</v>
      </c>
    </row>
    <row r="265" spans="1:17" x14ac:dyDescent="0.25">
      <c r="A265" s="1" t="s">
        <v>173</v>
      </c>
      <c r="B265" s="31">
        <v>34.5</v>
      </c>
      <c r="C265" s="1" t="s">
        <v>20</v>
      </c>
      <c r="D265" s="2">
        <v>42675</v>
      </c>
      <c r="E265" s="2">
        <v>42675</v>
      </c>
      <c r="F265" s="17">
        <v>750000</v>
      </c>
      <c r="G265" s="17">
        <v>21739.13</v>
      </c>
      <c r="H265" s="1"/>
      <c r="I265" s="1" t="s">
        <v>21</v>
      </c>
      <c r="J265" s="1" t="s">
        <v>22</v>
      </c>
      <c r="K265" s="1"/>
      <c r="L265" s="1" t="s">
        <v>172</v>
      </c>
      <c r="M265" s="1"/>
      <c r="N265" s="1" t="s">
        <v>174</v>
      </c>
      <c r="O265" s="31">
        <v>1</v>
      </c>
      <c r="P265" s="31">
        <v>1</v>
      </c>
      <c r="Q265" s="32">
        <v>2015</v>
      </c>
    </row>
    <row r="266" spans="1:17" x14ac:dyDescent="0.25">
      <c r="A266" s="1" t="s">
        <v>177</v>
      </c>
      <c r="B266" s="31">
        <v>45.1</v>
      </c>
      <c r="C266" s="1" t="s">
        <v>20</v>
      </c>
      <c r="D266" s="2">
        <v>42675</v>
      </c>
      <c r="E266" s="2">
        <v>42675</v>
      </c>
      <c r="F266" s="17">
        <v>992000</v>
      </c>
      <c r="G266" s="17">
        <v>21995.57</v>
      </c>
      <c r="H266" s="1"/>
      <c r="I266" s="1" t="s">
        <v>21</v>
      </c>
      <c r="J266" s="1" t="s">
        <v>22</v>
      </c>
      <c r="K266" s="1"/>
      <c r="L266" s="1" t="s">
        <v>172</v>
      </c>
      <c r="M266" s="1"/>
      <c r="N266" s="1" t="s">
        <v>118</v>
      </c>
      <c r="O266" s="31">
        <v>5</v>
      </c>
      <c r="P266" s="31">
        <v>1</v>
      </c>
      <c r="Q266" s="32">
        <v>2000</v>
      </c>
    </row>
    <row r="267" spans="1:17" x14ac:dyDescent="0.25">
      <c r="A267" s="1" t="s">
        <v>173</v>
      </c>
      <c r="B267" s="31">
        <v>59.6</v>
      </c>
      <c r="C267" s="1" t="s">
        <v>20</v>
      </c>
      <c r="D267" s="2">
        <v>42614</v>
      </c>
      <c r="E267" s="2">
        <v>42644</v>
      </c>
      <c r="F267" s="17">
        <v>1320000</v>
      </c>
      <c r="G267" s="17">
        <v>22147.65</v>
      </c>
      <c r="H267" s="1"/>
      <c r="I267" s="1" t="s">
        <v>21</v>
      </c>
      <c r="J267" s="1" t="s">
        <v>22</v>
      </c>
      <c r="K267" s="1"/>
      <c r="L267" s="1" t="s">
        <v>172</v>
      </c>
      <c r="M267" s="1"/>
      <c r="N267" s="1" t="s">
        <v>174</v>
      </c>
      <c r="O267" s="31">
        <v>5</v>
      </c>
      <c r="P267" s="31">
        <v>1</v>
      </c>
      <c r="Q267" s="32">
        <v>2005</v>
      </c>
    </row>
    <row r="268" spans="1:17" x14ac:dyDescent="0.25">
      <c r="A268" s="1" t="s">
        <v>185</v>
      </c>
      <c r="B268" s="31">
        <v>71.2</v>
      </c>
      <c r="C268" s="1" t="s">
        <v>20</v>
      </c>
      <c r="D268" s="2">
        <v>42644</v>
      </c>
      <c r="E268" s="2">
        <v>42644</v>
      </c>
      <c r="F268" s="17">
        <v>1582000</v>
      </c>
      <c r="G268" s="17">
        <v>22219.1</v>
      </c>
      <c r="H268" s="1"/>
      <c r="I268" s="1" t="s">
        <v>21</v>
      </c>
      <c r="J268" s="1" t="s">
        <v>22</v>
      </c>
      <c r="K268" s="1"/>
      <c r="L268" s="1" t="s">
        <v>172</v>
      </c>
      <c r="M268" s="1"/>
      <c r="N268" s="1" t="s">
        <v>174</v>
      </c>
      <c r="O268" s="31">
        <v>4</v>
      </c>
      <c r="P268" s="31">
        <v>1</v>
      </c>
      <c r="Q268" s="32">
        <v>2016</v>
      </c>
    </row>
    <row r="269" spans="1:17" x14ac:dyDescent="0.25">
      <c r="A269" s="1" t="s">
        <v>202</v>
      </c>
      <c r="B269" s="31">
        <v>58.2</v>
      </c>
      <c r="C269" s="1" t="s">
        <v>20</v>
      </c>
      <c r="D269" s="2">
        <v>42736</v>
      </c>
      <c r="E269" s="2">
        <v>42736</v>
      </c>
      <c r="F269" s="17">
        <v>1300000</v>
      </c>
      <c r="G269" s="17">
        <v>22336.77</v>
      </c>
      <c r="H269" s="1"/>
      <c r="I269" s="1" t="s">
        <v>21</v>
      </c>
      <c r="J269" s="1" t="s">
        <v>32</v>
      </c>
      <c r="K269" s="1"/>
      <c r="L269" s="1" t="s">
        <v>172</v>
      </c>
      <c r="M269" s="1"/>
      <c r="N269" s="1" t="s">
        <v>90</v>
      </c>
      <c r="O269" s="31">
        <v>4</v>
      </c>
      <c r="P269" s="31">
        <v>1</v>
      </c>
      <c r="Q269" s="32">
        <v>2003</v>
      </c>
    </row>
    <row r="270" spans="1:17" x14ac:dyDescent="0.25">
      <c r="A270" s="1" t="s">
        <v>199</v>
      </c>
      <c r="B270" s="31">
        <v>58.8</v>
      </c>
      <c r="C270" s="1" t="s">
        <v>20</v>
      </c>
      <c r="D270" s="2">
        <v>42705</v>
      </c>
      <c r="E270" s="2">
        <v>42705</v>
      </c>
      <c r="F270" s="17">
        <v>1320000</v>
      </c>
      <c r="G270" s="17">
        <v>22448.98</v>
      </c>
      <c r="H270" s="1"/>
      <c r="I270" s="1" t="s">
        <v>21</v>
      </c>
      <c r="J270" s="1" t="s">
        <v>22</v>
      </c>
      <c r="K270" s="1"/>
      <c r="L270" s="1" t="s">
        <v>172</v>
      </c>
      <c r="M270" s="1"/>
      <c r="N270" s="1" t="s">
        <v>200</v>
      </c>
      <c r="O270" s="31">
        <v>5</v>
      </c>
      <c r="P270" s="31">
        <v>1</v>
      </c>
      <c r="Q270" s="32">
        <v>2005</v>
      </c>
    </row>
    <row r="271" spans="1:17" x14ac:dyDescent="0.25">
      <c r="A271" s="1" t="s">
        <v>201</v>
      </c>
      <c r="B271" s="31">
        <v>63.8</v>
      </c>
      <c r="C271" s="1" t="s">
        <v>20</v>
      </c>
      <c r="D271" s="2">
        <v>42644</v>
      </c>
      <c r="E271" s="2">
        <v>42675</v>
      </c>
      <c r="F271" s="17">
        <v>1440000</v>
      </c>
      <c r="G271" s="17">
        <v>22570.53</v>
      </c>
      <c r="H271" s="1"/>
      <c r="I271" s="1" t="s">
        <v>21</v>
      </c>
      <c r="J271" s="1" t="s">
        <v>22</v>
      </c>
      <c r="K271" s="1"/>
      <c r="L271" s="1" t="s">
        <v>172</v>
      </c>
      <c r="M271" s="1"/>
      <c r="N271" s="1" t="s">
        <v>98</v>
      </c>
      <c r="O271" s="31">
        <v>4</v>
      </c>
      <c r="P271" s="31">
        <v>1</v>
      </c>
      <c r="Q271" s="32">
        <v>2007</v>
      </c>
    </row>
    <row r="272" spans="1:17" x14ac:dyDescent="0.25">
      <c r="A272" s="1" t="s">
        <v>177</v>
      </c>
      <c r="B272" s="31">
        <v>38.700000000000003</v>
      </c>
      <c r="C272" s="1" t="s">
        <v>20</v>
      </c>
      <c r="D272" s="2">
        <v>42675</v>
      </c>
      <c r="E272" s="2">
        <v>42675</v>
      </c>
      <c r="F272" s="17">
        <v>876000</v>
      </c>
      <c r="G272" s="17">
        <v>22635.66</v>
      </c>
      <c r="H272" s="1"/>
      <c r="I272" s="1" t="s">
        <v>21</v>
      </c>
      <c r="J272" s="1" t="s">
        <v>22</v>
      </c>
      <c r="K272" s="1"/>
      <c r="L272" s="1" t="s">
        <v>172</v>
      </c>
      <c r="M272" s="1"/>
      <c r="N272" s="1" t="s">
        <v>62</v>
      </c>
      <c r="O272" s="31">
        <v>5</v>
      </c>
      <c r="P272" s="31">
        <v>1</v>
      </c>
      <c r="Q272" s="32">
        <v>2003</v>
      </c>
    </row>
    <row r="273" spans="1:17" x14ac:dyDescent="0.25">
      <c r="A273" s="1" t="s">
        <v>190</v>
      </c>
      <c r="B273" s="31">
        <v>32.4</v>
      </c>
      <c r="C273" s="1" t="s">
        <v>20</v>
      </c>
      <c r="D273" s="2">
        <v>42675</v>
      </c>
      <c r="E273" s="2">
        <v>42675</v>
      </c>
      <c r="F273" s="17">
        <v>744000</v>
      </c>
      <c r="G273" s="17">
        <v>22962.959999999999</v>
      </c>
      <c r="H273" s="1"/>
      <c r="I273" s="1" t="s">
        <v>21</v>
      </c>
      <c r="J273" s="1" t="s">
        <v>22</v>
      </c>
      <c r="K273" s="1"/>
      <c r="L273" s="1" t="s">
        <v>172</v>
      </c>
      <c r="M273" s="1"/>
      <c r="N273" s="1"/>
      <c r="O273" s="31">
        <v>2</v>
      </c>
      <c r="P273" s="31">
        <v>1</v>
      </c>
      <c r="Q273" s="32">
        <v>1999</v>
      </c>
    </row>
    <row r="274" spans="1:17" x14ac:dyDescent="0.25">
      <c r="A274" s="1" t="s">
        <v>177</v>
      </c>
      <c r="B274" s="31">
        <v>27.3</v>
      </c>
      <c r="C274" s="1" t="s">
        <v>20</v>
      </c>
      <c r="D274" s="2">
        <v>42705</v>
      </c>
      <c r="E274" s="2">
        <v>42705</v>
      </c>
      <c r="F274" s="17">
        <v>640000</v>
      </c>
      <c r="G274" s="17">
        <v>23443.22</v>
      </c>
      <c r="H274" s="1"/>
      <c r="I274" s="1" t="s">
        <v>21</v>
      </c>
      <c r="J274" s="1" t="s">
        <v>22</v>
      </c>
      <c r="K274" s="1"/>
      <c r="L274" s="1" t="s">
        <v>172</v>
      </c>
      <c r="M274" s="1"/>
      <c r="N274" s="1" t="s">
        <v>200</v>
      </c>
      <c r="O274" s="31">
        <v>4</v>
      </c>
      <c r="P274" s="31">
        <v>1</v>
      </c>
      <c r="Q274" s="32">
        <v>2010</v>
      </c>
    </row>
    <row r="275" spans="1:17" x14ac:dyDescent="0.25">
      <c r="A275" s="1" t="s">
        <v>179</v>
      </c>
      <c r="B275" s="31">
        <v>61.4</v>
      </c>
      <c r="C275" s="1" t="s">
        <v>20</v>
      </c>
      <c r="D275" s="2">
        <v>42614</v>
      </c>
      <c r="E275" s="2">
        <v>42644</v>
      </c>
      <c r="F275" s="17">
        <v>1440000</v>
      </c>
      <c r="G275" s="17">
        <v>23452.77</v>
      </c>
      <c r="H275" s="1"/>
      <c r="I275" s="1" t="s">
        <v>21</v>
      </c>
      <c r="J275" s="1" t="s">
        <v>32</v>
      </c>
      <c r="K275" s="1"/>
      <c r="L275" s="1" t="s">
        <v>172</v>
      </c>
      <c r="M275" s="1"/>
      <c r="N275" s="1" t="s">
        <v>180</v>
      </c>
      <c r="O275" s="31">
        <v>3</v>
      </c>
      <c r="P275" s="31">
        <v>1</v>
      </c>
      <c r="Q275" s="32">
        <v>2009</v>
      </c>
    </row>
    <row r="276" spans="1:17" x14ac:dyDescent="0.25">
      <c r="A276" s="1" t="s">
        <v>173</v>
      </c>
      <c r="B276" s="31">
        <v>59.5</v>
      </c>
      <c r="C276" s="1" t="s">
        <v>20</v>
      </c>
      <c r="D276" s="2">
        <v>42795</v>
      </c>
      <c r="E276" s="2">
        <v>42795</v>
      </c>
      <c r="F276" s="17">
        <v>1400000</v>
      </c>
      <c r="G276" s="17">
        <v>23529.41</v>
      </c>
      <c r="H276" s="1"/>
      <c r="I276" s="1" t="s">
        <v>21</v>
      </c>
      <c r="J276" s="1" t="s">
        <v>32</v>
      </c>
      <c r="K276" s="1"/>
      <c r="L276" s="1" t="s">
        <v>172</v>
      </c>
      <c r="M276" s="1"/>
      <c r="N276" s="1" t="s">
        <v>192</v>
      </c>
      <c r="O276" s="31">
        <v>5</v>
      </c>
      <c r="P276" s="31">
        <v>1</v>
      </c>
      <c r="Q276" s="32">
        <v>2006</v>
      </c>
    </row>
    <row r="277" spans="1:17" x14ac:dyDescent="0.25">
      <c r="A277" s="1" t="s">
        <v>208</v>
      </c>
      <c r="B277" s="31">
        <v>57</v>
      </c>
      <c r="C277" s="1" t="s">
        <v>20</v>
      </c>
      <c r="D277" s="2">
        <v>42767</v>
      </c>
      <c r="E277" s="2">
        <v>42767</v>
      </c>
      <c r="F277" s="17">
        <v>1350000</v>
      </c>
      <c r="G277" s="17">
        <v>23684.21</v>
      </c>
      <c r="H277" s="1"/>
      <c r="I277" s="1" t="s">
        <v>21</v>
      </c>
      <c r="J277" s="1" t="s">
        <v>22</v>
      </c>
      <c r="K277" s="1"/>
      <c r="L277" s="1" t="s">
        <v>172</v>
      </c>
      <c r="M277" s="1"/>
      <c r="N277" s="1" t="s">
        <v>145</v>
      </c>
      <c r="O277" s="31">
        <v>5</v>
      </c>
      <c r="P277" s="31">
        <v>1</v>
      </c>
      <c r="Q277" s="32">
        <v>2012</v>
      </c>
    </row>
    <row r="278" spans="1:17" x14ac:dyDescent="0.25">
      <c r="A278" s="1" t="s">
        <v>177</v>
      </c>
      <c r="B278" s="31">
        <v>28</v>
      </c>
      <c r="C278" s="1" t="s">
        <v>20</v>
      </c>
      <c r="D278" s="2">
        <v>42644</v>
      </c>
      <c r="E278" s="2">
        <v>42675</v>
      </c>
      <c r="F278" s="17">
        <v>664000</v>
      </c>
      <c r="G278" s="17">
        <v>23714.29</v>
      </c>
      <c r="H278" s="1"/>
      <c r="I278" s="1" t="s">
        <v>21</v>
      </c>
      <c r="J278" s="1" t="s">
        <v>22</v>
      </c>
      <c r="K278" s="1"/>
      <c r="L278" s="1" t="s">
        <v>172</v>
      </c>
      <c r="M278" s="1"/>
      <c r="N278" s="1" t="s">
        <v>178</v>
      </c>
      <c r="O278" s="31">
        <v>4</v>
      </c>
      <c r="P278" s="31">
        <v>1</v>
      </c>
      <c r="Q278" s="32">
        <v>1999</v>
      </c>
    </row>
    <row r="279" spans="1:17" x14ac:dyDescent="0.25">
      <c r="A279" s="1" t="s">
        <v>173</v>
      </c>
      <c r="B279" s="31">
        <v>50</v>
      </c>
      <c r="C279" s="1" t="s">
        <v>20</v>
      </c>
      <c r="D279" s="2">
        <v>42675</v>
      </c>
      <c r="E279" s="2">
        <v>42675</v>
      </c>
      <c r="F279" s="17">
        <v>1200000</v>
      </c>
      <c r="G279" s="17">
        <v>24000</v>
      </c>
      <c r="H279" s="1"/>
      <c r="I279" s="1" t="s">
        <v>21</v>
      </c>
      <c r="J279" s="1" t="s">
        <v>22</v>
      </c>
      <c r="K279" s="1"/>
      <c r="L279" s="1" t="s">
        <v>172</v>
      </c>
      <c r="M279" s="1"/>
      <c r="N279" s="1" t="s">
        <v>174</v>
      </c>
      <c r="O279" s="31">
        <v>7</v>
      </c>
      <c r="P279" s="31">
        <v>1</v>
      </c>
      <c r="Q279" s="32">
        <v>2002</v>
      </c>
    </row>
    <row r="280" spans="1:17" x14ac:dyDescent="0.25">
      <c r="A280" s="1" t="s">
        <v>210</v>
      </c>
      <c r="B280" s="31">
        <v>48</v>
      </c>
      <c r="C280" s="1" t="s">
        <v>20</v>
      </c>
      <c r="D280" s="2">
        <v>42795</v>
      </c>
      <c r="E280" s="2">
        <v>42795</v>
      </c>
      <c r="F280" s="17">
        <v>1160000</v>
      </c>
      <c r="G280" s="17">
        <v>24166.67</v>
      </c>
      <c r="H280" s="1"/>
      <c r="I280" s="1" t="s">
        <v>21</v>
      </c>
      <c r="J280" s="1" t="s">
        <v>22</v>
      </c>
      <c r="K280" s="1"/>
      <c r="L280" s="1" t="s">
        <v>172</v>
      </c>
      <c r="M280" s="1"/>
      <c r="N280" s="1"/>
      <c r="O280" s="31">
        <v>1</v>
      </c>
      <c r="P280" s="31">
        <v>1</v>
      </c>
      <c r="Q280" s="32">
        <v>2009</v>
      </c>
    </row>
    <row r="281" spans="1:17" x14ac:dyDescent="0.25">
      <c r="A281" s="1" t="s">
        <v>190</v>
      </c>
      <c r="B281" s="31">
        <v>57.3</v>
      </c>
      <c r="C281" s="1" t="s">
        <v>20</v>
      </c>
      <c r="D281" s="2">
        <v>42644</v>
      </c>
      <c r="E281" s="2">
        <v>42675</v>
      </c>
      <c r="F281" s="17">
        <v>1400000</v>
      </c>
      <c r="G281" s="17">
        <v>24432.81</v>
      </c>
      <c r="H281" s="1"/>
      <c r="I281" s="1" t="s">
        <v>21</v>
      </c>
      <c r="J281" s="1" t="s">
        <v>22</v>
      </c>
      <c r="K281" s="1"/>
      <c r="L281" s="1" t="s">
        <v>172</v>
      </c>
      <c r="M281" s="1"/>
      <c r="N281" s="1" t="s">
        <v>191</v>
      </c>
      <c r="O281" s="31">
        <v>2</v>
      </c>
      <c r="P281" s="31">
        <v>1</v>
      </c>
      <c r="Q281" s="32">
        <v>2008</v>
      </c>
    </row>
    <row r="282" spans="1:17" x14ac:dyDescent="0.25">
      <c r="A282" s="1" t="s">
        <v>185</v>
      </c>
      <c r="B282" s="31">
        <v>73.3</v>
      </c>
      <c r="C282" s="1" t="s">
        <v>20</v>
      </c>
      <c r="D282" s="2">
        <v>42767</v>
      </c>
      <c r="E282" s="2">
        <v>42767</v>
      </c>
      <c r="F282" s="17">
        <v>1800000</v>
      </c>
      <c r="G282" s="17">
        <v>24556.62</v>
      </c>
      <c r="H282" s="1"/>
      <c r="I282" s="1" t="s">
        <v>21</v>
      </c>
      <c r="J282" s="1" t="s">
        <v>22</v>
      </c>
      <c r="K282" s="1"/>
      <c r="L282" s="1" t="s">
        <v>172</v>
      </c>
      <c r="M282" s="1"/>
      <c r="N282" s="1" t="s">
        <v>187</v>
      </c>
      <c r="O282" s="31">
        <v>7</v>
      </c>
      <c r="P282" s="31">
        <v>1</v>
      </c>
      <c r="Q282" s="32">
        <v>2009</v>
      </c>
    </row>
    <row r="283" spans="1:17" x14ac:dyDescent="0.25">
      <c r="A283" s="1" t="s">
        <v>198</v>
      </c>
      <c r="B283" s="31">
        <v>40.6</v>
      </c>
      <c r="C283" s="1" t="s">
        <v>20</v>
      </c>
      <c r="D283" s="2">
        <v>42767</v>
      </c>
      <c r="E283" s="2">
        <v>42795</v>
      </c>
      <c r="F283" s="17">
        <v>1000000</v>
      </c>
      <c r="G283" s="17">
        <v>24630.54</v>
      </c>
      <c r="H283" s="1"/>
      <c r="I283" s="1" t="s">
        <v>21</v>
      </c>
      <c r="J283" s="1" t="s">
        <v>22</v>
      </c>
      <c r="K283" s="1"/>
      <c r="L283" s="1" t="s">
        <v>172</v>
      </c>
      <c r="M283" s="1"/>
      <c r="N283" s="1" t="s">
        <v>90</v>
      </c>
      <c r="O283" s="31">
        <v>1</v>
      </c>
      <c r="P283" s="31">
        <v>1</v>
      </c>
      <c r="Q283" s="32">
        <v>2005</v>
      </c>
    </row>
    <row r="284" spans="1:17" x14ac:dyDescent="0.25">
      <c r="A284" s="1" t="s">
        <v>184</v>
      </c>
      <c r="B284" s="31">
        <v>41.5</v>
      </c>
      <c r="C284" s="1" t="s">
        <v>20</v>
      </c>
      <c r="D284" s="2">
        <v>42705</v>
      </c>
      <c r="E284" s="2">
        <v>42705</v>
      </c>
      <c r="F284" s="17">
        <v>1024000</v>
      </c>
      <c r="G284" s="17">
        <v>24674.7</v>
      </c>
      <c r="H284" s="1"/>
      <c r="I284" s="1" t="s">
        <v>21</v>
      </c>
      <c r="J284" s="1" t="s">
        <v>22</v>
      </c>
      <c r="K284" s="1"/>
      <c r="L284" s="1" t="s">
        <v>172</v>
      </c>
      <c r="M284" s="1"/>
      <c r="N284" s="1" t="s">
        <v>200</v>
      </c>
      <c r="O284" s="31">
        <v>5</v>
      </c>
      <c r="P284" s="31">
        <v>1</v>
      </c>
      <c r="Q284" s="32">
        <v>2005</v>
      </c>
    </row>
    <row r="285" spans="1:17" x14ac:dyDescent="0.25">
      <c r="A285" s="1" t="s">
        <v>173</v>
      </c>
      <c r="B285" s="31">
        <v>51.1</v>
      </c>
      <c r="C285" s="1" t="s">
        <v>20</v>
      </c>
      <c r="D285" s="2">
        <v>42767</v>
      </c>
      <c r="E285" s="2">
        <v>42795</v>
      </c>
      <c r="F285" s="17">
        <v>1280000</v>
      </c>
      <c r="G285" s="17">
        <v>25048.92</v>
      </c>
      <c r="H285" s="1"/>
      <c r="I285" s="1" t="s">
        <v>21</v>
      </c>
      <c r="J285" s="1" t="s">
        <v>22</v>
      </c>
      <c r="K285" s="1"/>
      <c r="L285" s="1" t="s">
        <v>172</v>
      </c>
      <c r="M285" s="1"/>
      <c r="N285" s="1" t="s">
        <v>174</v>
      </c>
      <c r="O285" s="31">
        <v>2</v>
      </c>
      <c r="P285" s="31">
        <v>1</v>
      </c>
      <c r="Q285" s="32">
        <v>2006</v>
      </c>
    </row>
    <row r="286" spans="1:17" x14ac:dyDescent="0.25">
      <c r="A286" s="1" t="s">
        <v>198</v>
      </c>
      <c r="B286" s="31">
        <v>96.6</v>
      </c>
      <c r="C286" s="1" t="s">
        <v>20</v>
      </c>
      <c r="D286" s="2">
        <v>42675</v>
      </c>
      <c r="E286" s="2">
        <v>42705</v>
      </c>
      <c r="F286" s="17">
        <v>2420000</v>
      </c>
      <c r="G286" s="17">
        <v>25051.759999999998</v>
      </c>
      <c r="H286" s="1"/>
      <c r="I286" s="1" t="s">
        <v>21</v>
      </c>
      <c r="J286" s="1" t="s">
        <v>22</v>
      </c>
      <c r="K286" s="1"/>
      <c r="L286" s="1" t="s">
        <v>172</v>
      </c>
      <c r="M286" s="1"/>
      <c r="N286" s="1" t="s">
        <v>176</v>
      </c>
      <c r="O286" s="31">
        <v>2</v>
      </c>
      <c r="P286" s="31">
        <v>2</v>
      </c>
      <c r="Q286" s="32">
        <v>2010</v>
      </c>
    </row>
    <row r="287" spans="1:17" x14ac:dyDescent="0.25">
      <c r="A287" s="1" t="s">
        <v>198</v>
      </c>
      <c r="B287" s="31">
        <v>96.6</v>
      </c>
      <c r="C287" s="1" t="s">
        <v>20</v>
      </c>
      <c r="D287" s="2">
        <v>42675</v>
      </c>
      <c r="E287" s="2">
        <v>42705</v>
      </c>
      <c r="F287" s="17">
        <v>2420000</v>
      </c>
      <c r="G287" s="17">
        <v>25051.759999999998</v>
      </c>
      <c r="H287" s="1"/>
      <c r="I287" s="1" t="s">
        <v>21</v>
      </c>
      <c r="J287" s="1" t="s">
        <v>22</v>
      </c>
      <c r="K287" s="1"/>
      <c r="L287" s="1" t="s">
        <v>172</v>
      </c>
      <c r="M287" s="1"/>
      <c r="N287" s="1" t="s">
        <v>176</v>
      </c>
      <c r="O287" s="31">
        <v>2</v>
      </c>
      <c r="P287" s="31">
        <v>2</v>
      </c>
      <c r="Q287" s="32">
        <v>2010</v>
      </c>
    </row>
    <row r="288" spans="1:17" x14ac:dyDescent="0.25">
      <c r="A288" s="1" t="s">
        <v>173</v>
      </c>
      <c r="B288" s="31">
        <v>50.7</v>
      </c>
      <c r="C288" s="1" t="s">
        <v>20</v>
      </c>
      <c r="D288" s="2">
        <v>42675</v>
      </c>
      <c r="E288" s="2">
        <v>42675</v>
      </c>
      <c r="F288" s="17">
        <v>1280000</v>
      </c>
      <c r="G288" s="17">
        <v>25246.55</v>
      </c>
      <c r="H288" s="1"/>
      <c r="I288" s="1" t="s">
        <v>21</v>
      </c>
      <c r="J288" s="1" t="s">
        <v>22</v>
      </c>
      <c r="K288" s="1"/>
      <c r="L288" s="1" t="s">
        <v>172</v>
      </c>
      <c r="M288" s="1"/>
      <c r="N288" s="1" t="s">
        <v>174</v>
      </c>
      <c r="O288" s="31">
        <v>4</v>
      </c>
      <c r="P288" s="31">
        <v>1</v>
      </c>
      <c r="Q288" s="32">
        <v>2009</v>
      </c>
    </row>
    <row r="289" spans="1:17" x14ac:dyDescent="0.25">
      <c r="A289" s="1" t="s">
        <v>185</v>
      </c>
      <c r="B289" s="31">
        <v>52.9</v>
      </c>
      <c r="C289" s="1" t="s">
        <v>20</v>
      </c>
      <c r="D289" s="2">
        <v>42705</v>
      </c>
      <c r="E289" s="2">
        <v>42705</v>
      </c>
      <c r="F289" s="17">
        <v>1340000</v>
      </c>
      <c r="G289" s="17">
        <v>25330.81</v>
      </c>
      <c r="H289" s="1"/>
      <c r="I289" s="1" t="s">
        <v>21</v>
      </c>
      <c r="J289" s="1" t="s">
        <v>22</v>
      </c>
      <c r="K289" s="1"/>
      <c r="L289" s="1" t="s">
        <v>172</v>
      </c>
      <c r="M289" s="1"/>
      <c r="N289" s="1" t="s">
        <v>187</v>
      </c>
      <c r="O289" s="31">
        <v>2</v>
      </c>
      <c r="P289" s="31">
        <v>2</v>
      </c>
      <c r="Q289" s="32">
        <v>2009</v>
      </c>
    </row>
    <row r="290" spans="1:17" x14ac:dyDescent="0.25">
      <c r="A290" s="1" t="s">
        <v>185</v>
      </c>
      <c r="B290" s="31">
        <v>52.9</v>
      </c>
      <c r="C290" s="1" t="s">
        <v>20</v>
      </c>
      <c r="D290" s="2">
        <v>42705</v>
      </c>
      <c r="E290" s="2">
        <v>42705</v>
      </c>
      <c r="F290" s="17">
        <v>1340000</v>
      </c>
      <c r="G290" s="17">
        <v>25330.81</v>
      </c>
      <c r="H290" s="1"/>
      <c r="I290" s="1" t="s">
        <v>21</v>
      </c>
      <c r="J290" s="1" t="s">
        <v>22</v>
      </c>
      <c r="K290" s="1"/>
      <c r="L290" s="1" t="s">
        <v>172</v>
      </c>
      <c r="M290" s="1"/>
      <c r="N290" s="1" t="s">
        <v>187</v>
      </c>
      <c r="O290" s="31">
        <v>2</v>
      </c>
      <c r="P290" s="31">
        <v>2</v>
      </c>
      <c r="Q290" s="32">
        <v>2009</v>
      </c>
    </row>
    <row r="291" spans="1:17" x14ac:dyDescent="0.25">
      <c r="A291" s="1" t="s">
        <v>173</v>
      </c>
      <c r="B291" s="31">
        <v>65.7</v>
      </c>
      <c r="C291" s="1" t="s">
        <v>20</v>
      </c>
      <c r="D291" s="2">
        <v>42644</v>
      </c>
      <c r="E291" s="2">
        <v>42644</v>
      </c>
      <c r="F291" s="17">
        <v>1680000</v>
      </c>
      <c r="G291" s="17">
        <v>25570.78</v>
      </c>
      <c r="H291" s="1"/>
      <c r="I291" s="1" t="s">
        <v>21</v>
      </c>
      <c r="J291" s="1" t="s">
        <v>22</v>
      </c>
      <c r="K291" s="1"/>
      <c r="L291" s="1" t="s">
        <v>172</v>
      </c>
      <c r="M291" s="1"/>
      <c r="N291" s="1" t="s">
        <v>192</v>
      </c>
      <c r="O291" s="31">
        <v>9</v>
      </c>
      <c r="P291" s="31">
        <v>1</v>
      </c>
      <c r="Q291" s="32">
        <v>2016</v>
      </c>
    </row>
    <row r="292" spans="1:17" x14ac:dyDescent="0.25">
      <c r="A292" s="1" t="s">
        <v>209</v>
      </c>
      <c r="B292" s="31">
        <v>46.6</v>
      </c>
      <c r="C292" s="1" t="s">
        <v>20</v>
      </c>
      <c r="D292" s="2">
        <v>42705</v>
      </c>
      <c r="E292" s="2">
        <v>42705</v>
      </c>
      <c r="F292" s="17">
        <v>1192000</v>
      </c>
      <c r="G292" s="17">
        <v>25579.4</v>
      </c>
      <c r="H292" s="1"/>
      <c r="I292" s="1" t="s">
        <v>21</v>
      </c>
      <c r="J292" s="1" t="s">
        <v>22</v>
      </c>
      <c r="K292" s="1"/>
      <c r="L292" s="1" t="s">
        <v>172</v>
      </c>
      <c r="M292" s="1"/>
      <c r="N292" s="1" t="s">
        <v>213</v>
      </c>
      <c r="O292" s="31">
        <v>1</v>
      </c>
      <c r="P292" s="31">
        <v>1</v>
      </c>
      <c r="Q292" s="32">
        <v>2016</v>
      </c>
    </row>
    <row r="293" spans="1:17" x14ac:dyDescent="0.25">
      <c r="A293" s="1" t="s">
        <v>184</v>
      </c>
      <c r="B293" s="31">
        <v>62</v>
      </c>
      <c r="C293" s="1" t="s">
        <v>20</v>
      </c>
      <c r="D293" s="2">
        <v>42736</v>
      </c>
      <c r="E293" s="2">
        <v>42767</v>
      </c>
      <c r="F293" s="17">
        <v>1600000</v>
      </c>
      <c r="G293" s="17">
        <v>25806.45</v>
      </c>
      <c r="H293" s="1"/>
      <c r="I293" s="1" t="s">
        <v>21</v>
      </c>
      <c r="J293" s="1" t="s">
        <v>32</v>
      </c>
      <c r="K293" s="1"/>
      <c r="L293" s="1" t="s">
        <v>172</v>
      </c>
      <c r="M293" s="1"/>
      <c r="N293" s="1" t="s">
        <v>183</v>
      </c>
      <c r="O293" s="31">
        <v>2</v>
      </c>
      <c r="P293" s="31">
        <v>1</v>
      </c>
      <c r="Q293" s="32">
        <v>2002</v>
      </c>
    </row>
    <row r="294" spans="1:17" x14ac:dyDescent="0.25">
      <c r="A294" s="1" t="s">
        <v>185</v>
      </c>
      <c r="B294" s="31">
        <v>56</v>
      </c>
      <c r="C294" s="1" t="s">
        <v>20</v>
      </c>
      <c r="D294" s="2">
        <v>42644</v>
      </c>
      <c r="E294" s="2">
        <v>42644</v>
      </c>
      <c r="F294" s="17">
        <v>1450000</v>
      </c>
      <c r="G294" s="17">
        <v>25892.86</v>
      </c>
      <c r="H294" s="1"/>
      <c r="I294" s="1" t="s">
        <v>21</v>
      </c>
      <c r="J294" s="1" t="s">
        <v>22</v>
      </c>
      <c r="K294" s="1"/>
      <c r="L294" s="1" t="s">
        <v>172</v>
      </c>
      <c r="M294" s="1"/>
      <c r="N294" s="1" t="s">
        <v>174</v>
      </c>
      <c r="O294" s="31">
        <v>5</v>
      </c>
      <c r="P294" s="31">
        <v>1</v>
      </c>
      <c r="Q294" s="32">
        <v>2012</v>
      </c>
    </row>
    <row r="295" spans="1:17" x14ac:dyDescent="0.25">
      <c r="A295" s="1" t="s">
        <v>182</v>
      </c>
      <c r="B295" s="31">
        <v>46.3</v>
      </c>
      <c r="C295" s="1" t="s">
        <v>20</v>
      </c>
      <c r="D295" s="2">
        <v>42644</v>
      </c>
      <c r="E295" s="2">
        <v>42644</v>
      </c>
      <c r="F295" s="17">
        <v>1200000</v>
      </c>
      <c r="G295" s="17">
        <v>25917.93</v>
      </c>
      <c r="H295" s="1"/>
      <c r="I295" s="1" t="s">
        <v>21</v>
      </c>
      <c r="J295" s="1" t="s">
        <v>22</v>
      </c>
      <c r="K295" s="1"/>
      <c r="L295" s="1" t="s">
        <v>172</v>
      </c>
      <c r="M295" s="1"/>
      <c r="N295" s="1" t="s">
        <v>183</v>
      </c>
      <c r="O295" s="31">
        <v>1</v>
      </c>
      <c r="P295" s="31">
        <v>1</v>
      </c>
      <c r="Q295" s="32">
        <v>2013</v>
      </c>
    </row>
    <row r="296" spans="1:17" x14ac:dyDescent="0.25">
      <c r="A296" s="1" t="s">
        <v>208</v>
      </c>
      <c r="B296" s="31">
        <v>46.3</v>
      </c>
      <c r="C296" s="1" t="s">
        <v>20</v>
      </c>
      <c r="D296" s="2">
        <v>42705</v>
      </c>
      <c r="E296" s="2">
        <v>42705</v>
      </c>
      <c r="F296" s="17">
        <v>1200000</v>
      </c>
      <c r="G296" s="17">
        <v>25917.93</v>
      </c>
      <c r="H296" s="1"/>
      <c r="I296" s="1" t="s">
        <v>21</v>
      </c>
      <c r="J296" s="1" t="s">
        <v>32</v>
      </c>
      <c r="K296" s="1"/>
      <c r="L296" s="1" t="s">
        <v>172</v>
      </c>
      <c r="M296" s="1"/>
      <c r="N296" s="1" t="s">
        <v>194</v>
      </c>
      <c r="O296" s="31">
        <v>5</v>
      </c>
      <c r="P296" s="31">
        <v>1</v>
      </c>
      <c r="Q296" s="32">
        <v>2009</v>
      </c>
    </row>
    <row r="297" spans="1:17" x14ac:dyDescent="0.25">
      <c r="A297" s="1" t="s">
        <v>186</v>
      </c>
      <c r="B297" s="31">
        <v>55.7</v>
      </c>
      <c r="C297" s="1" t="s">
        <v>20</v>
      </c>
      <c r="D297" s="2">
        <v>42644</v>
      </c>
      <c r="E297" s="2">
        <v>42644</v>
      </c>
      <c r="F297" s="17">
        <v>1450000</v>
      </c>
      <c r="G297" s="17">
        <v>26032.32</v>
      </c>
      <c r="H297" s="1"/>
      <c r="I297" s="1" t="s">
        <v>21</v>
      </c>
      <c r="J297" s="1" t="s">
        <v>22</v>
      </c>
      <c r="K297" s="1"/>
      <c r="L297" s="1" t="s">
        <v>172</v>
      </c>
      <c r="M297" s="1"/>
      <c r="N297" s="1"/>
      <c r="O297" s="31">
        <v>5</v>
      </c>
      <c r="P297" s="31">
        <v>1</v>
      </c>
      <c r="Q297" s="32">
        <v>2002</v>
      </c>
    </row>
    <row r="298" spans="1:17" x14ac:dyDescent="0.25">
      <c r="A298" s="1" t="s">
        <v>185</v>
      </c>
      <c r="B298" s="31">
        <v>50.6</v>
      </c>
      <c r="C298" s="1" t="s">
        <v>20</v>
      </c>
      <c r="D298" s="2">
        <v>42675</v>
      </c>
      <c r="E298" s="2">
        <v>42675</v>
      </c>
      <c r="F298" s="17">
        <v>1320000</v>
      </c>
      <c r="G298" s="17">
        <v>26086.959999999999</v>
      </c>
      <c r="H298" s="1"/>
      <c r="I298" s="1" t="s">
        <v>21</v>
      </c>
      <c r="J298" s="1" t="s">
        <v>22</v>
      </c>
      <c r="K298" s="1"/>
      <c r="L298" s="1" t="s">
        <v>172</v>
      </c>
      <c r="M298" s="1"/>
      <c r="N298" s="1" t="s">
        <v>174</v>
      </c>
      <c r="O298" s="31">
        <v>1</v>
      </c>
      <c r="P298" s="31">
        <v>1</v>
      </c>
      <c r="Q298" s="32">
        <v>2012</v>
      </c>
    </row>
    <row r="299" spans="1:17" x14ac:dyDescent="0.25">
      <c r="A299" s="1" t="s">
        <v>185</v>
      </c>
      <c r="B299" s="31">
        <v>32.799999999999997</v>
      </c>
      <c r="C299" s="1" t="s">
        <v>20</v>
      </c>
      <c r="D299" s="2">
        <v>42644</v>
      </c>
      <c r="E299" s="2">
        <v>42644</v>
      </c>
      <c r="F299" s="17">
        <v>870000</v>
      </c>
      <c r="G299" s="17">
        <v>26524.39</v>
      </c>
      <c r="H299" s="1"/>
      <c r="I299" s="1" t="s">
        <v>21</v>
      </c>
      <c r="J299" s="1" t="s">
        <v>22</v>
      </c>
      <c r="K299" s="1"/>
      <c r="L299" s="1" t="s">
        <v>172</v>
      </c>
      <c r="M299" s="1"/>
      <c r="N299" s="1" t="s">
        <v>187</v>
      </c>
      <c r="O299" s="31">
        <v>2</v>
      </c>
      <c r="P299" s="31">
        <v>1</v>
      </c>
      <c r="Q299" s="32">
        <v>2009</v>
      </c>
    </row>
    <row r="300" spans="1:17" x14ac:dyDescent="0.25">
      <c r="A300" s="1" t="s">
        <v>198</v>
      </c>
      <c r="B300" s="31">
        <v>42</v>
      </c>
      <c r="C300" s="1" t="s">
        <v>20</v>
      </c>
      <c r="D300" s="2">
        <v>42644</v>
      </c>
      <c r="E300" s="2">
        <v>42644</v>
      </c>
      <c r="F300" s="17">
        <v>1120000</v>
      </c>
      <c r="G300" s="17">
        <v>26666.67</v>
      </c>
      <c r="H300" s="1"/>
      <c r="I300" s="1" t="s">
        <v>21</v>
      </c>
      <c r="J300" s="1" t="s">
        <v>22</v>
      </c>
      <c r="K300" s="1"/>
      <c r="L300" s="1" t="s">
        <v>172</v>
      </c>
      <c r="M300" s="1"/>
      <c r="N300" s="1" t="s">
        <v>90</v>
      </c>
      <c r="O300" s="31">
        <v>1</v>
      </c>
      <c r="P300" s="31">
        <v>1</v>
      </c>
      <c r="Q300" s="32">
        <v>2008</v>
      </c>
    </row>
    <row r="301" spans="1:17" x14ac:dyDescent="0.25">
      <c r="A301" s="1" t="s">
        <v>186</v>
      </c>
      <c r="B301" s="31">
        <v>30</v>
      </c>
      <c r="C301" s="1" t="s">
        <v>20</v>
      </c>
      <c r="D301" s="2">
        <v>42736</v>
      </c>
      <c r="E301" s="2">
        <v>42767</v>
      </c>
      <c r="F301" s="17">
        <v>800000</v>
      </c>
      <c r="G301" s="17">
        <v>26666.67</v>
      </c>
      <c r="H301" s="1"/>
      <c r="I301" s="1" t="s">
        <v>21</v>
      </c>
      <c r="J301" s="1" t="s">
        <v>22</v>
      </c>
      <c r="K301" s="1"/>
      <c r="L301" s="1" t="s">
        <v>172</v>
      </c>
      <c r="M301" s="1"/>
      <c r="N301" s="1" t="s">
        <v>189</v>
      </c>
      <c r="O301" s="31">
        <v>3</v>
      </c>
      <c r="P301" s="31">
        <v>1</v>
      </c>
      <c r="Q301" s="32">
        <v>2008</v>
      </c>
    </row>
    <row r="302" spans="1:17" x14ac:dyDescent="0.25">
      <c r="A302" s="1" t="s">
        <v>175</v>
      </c>
      <c r="B302" s="31">
        <v>29.8</v>
      </c>
      <c r="C302" s="1" t="s">
        <v>20</v>
      </c>
      <c r="D302" s="2">
        <v>42705</v>
      </c>
      <c r="E302" s="2">
        <v>42705</v>
      </c>
      <c r="F302" s="17">
        <v>795000</v>
      </c>
      <c r="G302" s="17">
        <v>26677.85</v>
      </c>
      <c r="H302" s="1"/>
      <c r="I302" s="1" t="s">
        <v>21</v>
      </c>
      <c r="J302" s="1" t="s">
        <v>22</v>
      </c>
      <c r="K302" s="1"/>
      <c r="L302" s="1" t="s">
        <v>172</v>
      </c>
      <c r="M302" s="1"/>
      <c r="N302" s="1" t="s">
        <v>196</v>
      </c>
      <c r="O302" s="31">
        <v>2</v>
      </c>
      <c r="P302" s="31">
        <v>1</v>
      </c>
      <c r="Q302" s="32">
        <v>2011</v>
      </c>
    </row>
    <row r="303" spans="1:17" x14ac:dyDescent="0.25">
      <c r="A303" s="1" t="s">
        <v>184</v>
      </c>
      <c r="B303" s="31">
        <v>40.9</v>
      </c>
      <c r="C303" s="1" t="s">
        <v>20</v>
      </c>
      <c r="D303" s="2">
        <v>42705</v>
      </c>
      <c r="E303" s="2">
        <v>42705</v>
      </c>
      <c r="F303" s="17">
        <v>1100000</v>
      </c>
      <c r="G303" s="17">
        <v>26894.87</v>
      </c>
      <c r="H303" s="1"/>
      <c r="I303" s="1" t="s">
        <v>21</v>
      </c>
      <c r="J303" s="1" t="s">
        <v>22</v>
      </c>
      <c r="K303" s="1"/>
      <c r="L303" s="1" t="s">
        <v>172</v>
      </c>
      <c r="M303" s="1"/>
      <c r="N303" s="1" t="s">
        <v>128</v>
      </c>
      <c r="O303" s="31">
        <v>1</v>
      </c>
      <c r="P303" s="31">
        <v>1</v>
      </c>
      <c r="Q303" s="32">
        <v>2001</v>
      </c>
    </row>
    <row r="304" spans="1:17" x14ac:dyDescent="0.25">
      <c r="A304" s="1" t="s">
        <v>203</v>
      </c>
      <c r="B304" s="31">
        <v>258.5</v>
      </c>
      <c r="C304" s="1" t="s">
        <v>20</v>
      </c>
      <c r="D304" s="2">
        <v>42186</v>
      </c>
      <c r="E304" s="2">
        <v>42767</v>
      </c>
      <c r="F304" s="17">
        <v>6982190</v>
      </c>
      <c r="G304" s="17">
        <v>27010.41</v>
      </c>
      <c r="H304" s="1"/>
      <c r="I304" s="1" t="s">
        <v>21</v>
      </c>
      <c r="J304" s="1" t="s">
        <v>18</v>
      </c>
      <c r="K304" s="1"/>
      <c r="L304" s="1" t="s">
        <v>172</v>
      </c>
      <c r="M304" s="1"/>
      <c r="N304" s="1" t="s">
        <v>118</v>
      </c>
      <c r="O304" s="31" t="s">
        <v>216</v>
      </c>
      <c r="P304" s="31">
        <v>1</v>
      </c>
      <c r="Q304" s="32">
        <v>2010</v>
      </c>
    </row>
    <row r="305" spans="1:17" x14ac:dyDescent="0.25">
      <c r="A305" s="1" t="s">
        <v>182</v>
      </c>
      <c r="B305" s="31">
        <v>33.299999999999997</v>
      </c>
      <c r="C305" s="1" t="s">
        <v>20</v>
      </c>
      <c r="D305" s="2">
        <v>42675</v>
      </c>
      <c r="E305" s="2">
        <v>42675</v>
      </c>
      <c r="F305" s="17">
        <v>900000</v>
      </c>
      <c r="G305" s="17">
        <v>27027.03</v>
      </c>
      <c r="H305" s="1"/>
      <c r="I305" s="1" t="s">
        <v>21</v>
      </c>
      <c r="J305" s="1" t="s">
        <v>22</v>
      </c>
      <c r="K305" s="1"/>
      <c r="L305" s="1" t="s">
        <v>172</v>
      </c>
      <c r="M305" s="1"/>
      <c r="N305" s="1" t="s">
        <v>183</v>
      </c>
      <c r="O305" s="31">
        <v>1</v>
      </c>
      <c r="P305" s="31">
        <v>1</v>
      </c>
      <c r="Q305" s="32">
        <v>2009</v>
      </c>
    </row>
    <row r="306" spans="1:17" x14ac:dyDescent="0.25">
      <c r="A306" s="1" t="s">
        <v>190</v>
      </c>
      <c r="B306" s="31">
        <v>46.8</v>
      </c>
      <c r="C306" s="1" t="s">
        <v>20</v>
      </c>
      <c r="D306" s="2">
        <v>42705</v>
      </c>
      <c r="E306" s="2">
        <v>42705</v>
      </c>
      <c r="F306" s="17">
        <v>1280000</v>
      </c>
      <c r="G306" s="17">
        <v>27350.43</v>
      </c>
      <c r="H306" s="1"/>
      <c r="I306" s="1" t="s">
        <v>21</v>
      </c>
      <c r="J306" s="1" t="s">
        <v>22</v>
      </c>
      <c r="K306" s="1"/>
      <c r="L306" s="1" t="s">
        <v>172</v>
      </c>
      <c r="M306" s="1"/>
      <c r="N306" s="1" t="s">
        <v>189</v>
      </c>
      <c r="O306" s="31">
        <v>2</v>
      </c>
      <c r="P306" s="31">
        <v>1</v>
      </c>
      <c r="Q306" s="32">
        <v>2000</v>
      </c>
    </row>
    <row r="307" spans="1:17" x14ac:dyDescent="0.25">
      <c r="A307" s="1" t="s">
        <v>185</v>
      </c>
      <c r="B307" s="31">
        <v>47.4</v>
      </c>
      <c r="C307" s="1" t="s">
        <v>20</v>
      </c>
      <c r="D307" s="2">
        <v>42767</v>
      </c>
      <c r="E307" s="2">
        <v>42767</v>
      </c>
      <c r="F307" s="17">
        <v>1300000</v>
      </c>
      <c r="G307" s="17">
        <v>27426.16</v>
      </c>
      <c r="H307" s="1"/>
      <c r="I307" s="1" t="s">
        <v>21</v>
      </c>
      <c r="J307" s="1" t="s">
        <v>22</v>
      </c>
      <c r="K307" s="1"/>
      <c r="L307" s="1" t="s">
        <v>172</v>
      </c>
      <c r="M307" s="1"/>
      <c r="N307" s="1" t="s">
        <v>174</v>
      </c>
      <c r="O307" s="31">
        <v>4</v>
      </c>
      <c r="P307" s="31">
        <v>1</v>
      </c>
      <c r="Q307" s="32">
        <v>2009</v>
      </c>
    </row>
    <row r="308" spans="1:17" x14ac:dyDescent="0.25">
      <c r="A308" s="1" t="s">
        <v>179</v>
      </c>
      <c r="B308" s="31">
        <v>32.4</v>
      </c>
      <c r="C308" s="1" t="s">
        <v>20</v>
      </c>
      <c r="D308" s="2">
        <v>42644</v>
      </c>
      <c r="E308" s="2">
        <v>42675</v>
      </c>
      <c r="F308" s="17">
        <v>900000</v>
      </c>
      <c r="G308" s="17">
        <v>27777.78</v>
      </c>
      <c r="H308" s="1"/>
      <c r="I308" s="1" t="s">
        <v>21</v>
      </c>
      <c r="J308" s="1" t="s">
        <v>22</v>
      </c>
      <c r="K308" s="1"/>
      <c r="L308" s="1" t="s">
        <v>172</v>
      </c>
      <c r="M308" s="1"/>
      <c r="N308" s="1" t="s">
        <v>180</v>
      </c>
      <c r="O308" s="31">
        <v>2</v>
      </c>
      <c r="P308" s="31">
        <v>1</v>
      </c>
      <c r="Q308" s="32">
        <v>2000</v>
      </c>
    </row>
    <row r="309" spans="1:17" x14ac:dyDescent="0.25">
      <c r="A309" s="1" t="s">
        <v>197</v>
      </c>
      <c r="B309" s="31">
        <v>43.2</v>
      </c>
      <c r="C309" s="1" t="s">
        <v>20</v>
      </c>
      <c r="D309" s="2">
        <v>42767</v>
      </c>
      <c r="E309" s="2">
        <v>42767</v>
      </c>
      <c r="F309" s="17">
        <v>1200000</v>
      </c>
      <c r="G309" s="17">
        <v>27777.78</v>
      </c>
      <c r="H309" s="1"/>
      <c r="I309" s="1" t="s">
        <v>21</v>
      </c>
      <c r="J309" s="1" t="s">
        <v>22</v>
      </c>
      <c r="K309" s="1"/>
      <c r="L309" s="1" t="s">
        <v>172</v>
      </c>
      <c r="M309" s="1"/>
      <c r="N309" s="1" t="s">
        <v>176</v>
      </c>
      <c r="O309" s="31">
        <v>2</v>
      </c>
      <c r="P309" s="31">
        <v>1</v>
      </c>
      <c r="Q309" s="32">
        <v>2005</v>
      </c>
    </row>
    <row r="310" spans="1:17" x14ac:dyDescent="0.25">
      <c r="A310" s="1" t="s">
        <v>197</v>
      </c>
      <c r="B310" s="31">
        <v>89.7</v>
      </c>
      <c r="C310" s="1" t="s">
        <v>20</v>
      </c>
      <c r="D310" s="2">
        <v>42736</v>
      </c>
      <c r="E310" s="2">
        <v>42736</v>
      </c>
      <c r="F310" s="17">
        <v>2511265</v>
      </c>
      <c r="G310" s="17">
        <v>27996.27</v>
      </c>
      <c r="H310" s="1"/>
      <c r="I310" s="1" t="s">
        <v>21</v>
      </c>
      <c r="J310" s="1" t="s">
        <v>22</v>
      </c>
      <c r="K310" s="1"/>
      <c r="L310" s="1" t="s">
        <v>172</v>
      </c>
      <c r="M310" s="1"/>
      <c r="N310" s="1" t="s">
        <v>183</v>
      </c>
      <c r="O310" s="31">
        <v>2</v>
      </c>
      <c r="P310" s="31">
        <v>1</v>
      </c>
      <c r="Q310" s="32">
        <v>2011</v>
      </c>
    </row>
    <row r="311" spans="1:17" x14ac:dyDescent="0.25">
      <c r="A311" s="1" t="s">
        <v>193</v>
      </c>
      <c r="B311" s="31">
        <v>44.3</v>
      </c>
      <c r="C311" s="1" t="s">
        <v>20</v>
      </c>
      <c r="D311" s="2">
        <v>42795</v>
      </c>
      <c r="E311" s="2">
        <v>42795</v>
      </c>
      <c r="F311" s="17">
        <v>1250000</v>
      </c>
      <c r="G311" s="17">
        <v>28216.7</v>
      </c>
      <c r="H311" s="1"/>
      <c r="I311" s="1" t="s">
        <v>21</v>
      </c>
      <c r="J311" s="1" t="s">
        <v>22</v>
      </c>
      <c r="K311" s="1"/>
      <c r="L311" s="1" t="s">
        <v>172</v>
      </c>
      <c r="M311" s="1"/>
      <c r="N311" s="1" t="s">
        <v>207</v>
      </c>
      <c r="O311" s="31">
        <v>1</v>
      </c>
      <c r="P311" s="31">
        <v>1</v>
      </c>
      <c r="Q311" s="32">
        <v>2009</v>
      </c>
    </row>
    <row r="312" spans="1:17" x14ac:dyDescent="0.25">
      <c r="A312" s="1" t="s">
        <v>181</v>
      </c>
      <c r="B312" s="31">
        <v>50.9</v>
      </c>
      <c r="C312" s="1" t="s">
        <v>20</v>
      </c>
      <c r="D312" s="2">
        <v>42644</v>
      </c>
      <c r="E312" s="2">
        <v>42644</v>
      </c>
      <c r="F312" s="17">
        <v>1440000</v>
      </c>
      <c r="G312" s="17">
        <v>28290.77</v>
      </c>
      <c r="H312" s="1"/>
      <c r="I312" s="1" t="s">
        <v>21</v>
      </c>
      <c r="J312" s="1" t="s">
        <v>22</v>
      </c>
      <c r="K312" s="1"/>
      <c r="L312" s="1" t="s">
        <v>172</v>
      </c>
      <c r="M312" s="1"/>
      <c r="N312" s="1" t="s">
        <v>180</v>
      </c>
      <c r="O312" s="31">
        <v>4</v>
      </c>
      <c r="P312" s="31">
        <v>1</v>
      </c>
      <c r="Q312" s="32">
        <v>2009</v>
      </c>
    </row>
    <row r="313" spans="1:17" x14ac:dyDescent="0.25">
      <c r="A313" s="1" t="s">
        <v>185</v>
      </c>
      <c r="B313" s="31">
        <v>32.5</v>
      </c>
      <c r="C313" s="1" t="s">
        <v>20</v>
      </c>
      <c r="D313" s="2">
        <v>42644</v>
      </c>
      <c r="E313" s="2">
        <v>42644</v>
      </c>
      <c r="F313" s="17">
        <v>921600</v>
      </c>
      <c r="G313" s="17">
        <v>28356.92</v>
      </c>
      <c r="H313" s="1"/>
      <c r="I313" s="1" t="s">
        <v>21</v>
      </c>
      <c r="J313" s="1" t="s">
        <v>22</v>
      </c>
      <c r="K313" s="1"/>
      <c r="L313" s="1" t="s">
        <v>172</v>
      </c>
      <c r="M313" s="1"/>
      <c r="N313" s="1" t="s">
        <v>174</v>
      </c>
      <c r="O313" s="31">
        <v>1</v>
      </c>
      <c r="P313" s="31">
        <v>1</v>
      </c>
      <c r="Q313" s="32">
        <v>2008</v>
      </c>
    </row>
    <row r="314" spans="1:17" x14ac:dyDescent="0.25">
      <c r="A314" s="1" t="s">
        <v>185</v>
      </c>
      <c r="B314" s="31">
        <v>56.1</v>
      </c>
      <c r="C314" s="1" t="s">
        <v>20</v>
      </c>
      <c r="D314" s="2">
        <v>42736</v>
      </c>
      <c r="E314" s="2">
        <v>42736</v>
      </c>
      <c r="F314" s="17">
        <v>1600000</v>
      </c>
      <c r="G314" s="17">
        <v>28520.5</v>
      </c>
      <c r="H314" s="1"/>
      <c r="I314" s="1" t="s">
        <v>21</v>
      </c>
      <c r="J314" s="1" t="s">
        <v>22</v>
      </c>
      <c r="K314" s="1"/>
      <c r="L314" s="1" t="s">
        <v>172</v>
      </c>
      <c r="M314" s="1"/>
      <c r="N314" s="1" t="s">
        <v>174</v>
      </c>
      <c r="O314" s="31">
        <v>5</v>
      </c>
      <c r="P314" s="31">
        <v>1</v>
      </c>
      <c r="Q314" s="32">
        <v>2012</v>
      </c>
    </row>
    <row r="315" spans="1:17" x14ac:dyDescent="0.25">
      <c r="A315" s="1" t="s">
        <v>215</v>
      </c>
      <c r="B315" s="31">
        <v>29.8</v>
      </c>
      <c r="C315" s="1" t="s">
        <v>20</v>
      </c>
      <c r="D315" s="2">
        <v>42795</v>
      </c>
      <c r="E315" s="2">
        <v>42795</v>
      </c>
      <c r="F315" s="17">
        <v>852000</v>
      </c>
      <c r="G315" s="17">
        <v>28590.6</v>
      </c>
      <c r="H315" s="1"/>
      <c r="I315" s="1" t="s">
        <v>21</v>
      </c>
      <c r="J315" s="1" t="s">
        <v>22</v>
      </c>
      <c r="K315" s="1"/>
      <c r="L315" s="1" t="s">
        <v>172</v>
      </c>
      <c r="M315" s="1"/>
      <c r="N315" s="1"/>
      <c r="O315" s="31">
        <v>3</v>
      </c>
      <c r="P315" s="31">
        <v>1</v>
      </c>
      <c r="Q315" s="32">
        <v>2012</v>
      </c>
    </row>
    <row r="316" spans="1:17" x14ac:dyDescent="0.25">
      <c r="A316" s="1" t="s">
        <v>184</v>
      </c>
      <c r="B316" s="31">
        <v>41.9</v>
      </c>
      <c r="C316" s="1" t="s">
        <v>20</v>
      </c>
      <c r="D316" s="2">
        <v>42767</v>
      </c>
      <c r="E316" s="2">
        <v>42767</v>
      </c>
      <c r="F316" s="17">
        <v>1200000</v>
      </c>
      <c r="G316" s="17">
        <v>28639.62</v>
      </c>
      <c r="H316" s="1"/>
      <c r="I316" s="1" t="s">
        <v>21</v>
      </c>
      <c r="J316" s="1" t="s">
        <v>22</v>
      </c>
      <c r="K316" s="1"/>
      <c r="L316" s="1" t="s">
        <v>172</v>
      </c>
      <c r="M316" s="1"/>
      <c r="N316" s="1" t="s">
        <v>196</v>
      </c>
      <c r="O316" s="31">
        <v>5</v>
      </c>
      <c r="P316" s="31">
        <v>2</v>
      </c>
      <c r="Q316" s="32">
        <v>2007</v>
      </c>
    </row>
    <row r="317" spans="1:17" x14ac:dyDescent="0.25">
      <c r="A317" s="1" t="s">
        <v>184</v>
      </c>
      <c r="B317" s="31">
        <v>41.9</v>
      </c>
      <c r="C317" s="1" t="s">
        <v>20</v>
      </c>
      <c r="D317" s="2">
        <v>42767</v>
      </c>
      <c r="E317" s="2">
        <v>42767</v>
      </c>
      <c r="F317" s="17">
        <v>1200000</v>
      </c>
      <c r="G317" s="17">
        <v>28639.62</v>
      </c>
      <c r="H317" s="1"/>
      <c r="I317" s="1" t="s">
        <v>21</v>
      </c>
      <c r="J317" s="1" t="s">
        <v>22</v>
      </c>
      <c r="K317" s="1"/>
      <c r="L317" s="1" t="s">
        <v>172</v>
      </c>
      <c r="M317" s="1"/>
      <c r="N317" s="1" t="s">
        <v>196</v>
      </c>
      <c r="O317" s="31">
        <v>5</v>
      </c>
      <c r="P317" s="31">
        <v>2</v>
      </c>
      <c r="Q317" s="32">
        <v>2007</v>
      </c>
    </row>
    <row r="318" spans="1:17" x14ac:dyDescent="0.25">
      <c r="A318" s="1" t="s">
        <v>201</v>
      </c>
      <c r="B318" s="31">
        <v>31.9</v>
      </c>
      <c r="C318" s="1" t="s">
        <v>20</v>
      </c>
      <c r="D318" s="2">
        <v>42675</v>
      </c>
      <c r="E318" s="2">
        <v>42675</v>
      </c>
      <c r="F318" s="17">
        <v>920000</v>
      </c>
      <c r="G318" s="17">
        <v>28840.13</v>
      </c>
      <c r="H318" s="1"/>
      <c r="I318" s="1" t="s">
        <v>21</v>
      </c>
      <c r="J318" s="1" t="s">
        <v>22</v>
      </c>
      <c r="K318" s="1"/>
      <c r="L318" s="1" t="s">
        <v>172</v>
      </c>
      <c r="M318" s="1"/>
      <c r="N318" s="1" t="s">
        <v>98</v>
      </c>
      <c r="O318" s="31">
        <v>5</v>
      </c>
      <c r="P318" s="31">
        <v>1</v>
      </c>
      <c r="Q318" s="32">
        <v>2016</v>
      </c>
    </row>
    <row r="319" spans="1:17" x14ac:dyDescent="0.25">
      <c r="A319" s="1" t="s">
        <v>177</v>
      </c>
      <c r="B319" s="31">
        <v>43.9</v>
      </c>
      <c r="C319" s="1" t="s">
        <v>20</v>
      </c>
      <c r="D319" s="2">
        <v>42705</v>
      </c>
      <c r="E319" s="2">
        <v>42705</v>
      </c>
      <c r="F319" s="17">
        <v>1280000</v>
      </c>
      <c r="G319" s="17">
        <v>29157.18</v>
      </c>
      <c r="H319" s="1"/>
      <c r="I319" s="1" t="s">
        <v>21</v>
      </c>
      <c r="J319" s="1" t="s">
        <v>22</v>
      </c>
      <c r="K319" s="1"/>
      <c r="L319" s="1" t="s">
        <v>172</v>
      </c>
      <c r="M319" s="1"/>
      <c r="N319" s="1" t="s">
        <v>178</v>
      </c>
      <c r="O319" s="31">
        <v>1</v>
      </c>
      <c r="P319" s="31">
        <v>1</v>
      </c>
      <c r="Q319" s="32">
        <v>2004</v>
      </c>
    </row>
    <row r="320" spans="1:17" x14ac:dyDescent="0.25">
      <c r="A320" s="1" t="s">
        <v>199</v>
      </c>
      <c r="B320" s="31">
        <v>62.9</v>
      </c>
      <c r="C320" s="1" t="s">
        <v>20</v>
      </c>
      <c r="D320" s="2">
        <v>42795</v>
      </c>
      <c r="E320" s="2">
        <v>42795</v>
      </c>
      <c r="F320" s="17">
        <v>1840000</v>
      </c>
      <c r="G320" s="17">
        <v>29252.78</v>
      </c>
      <c r="H320" s="1"/>
      <c r="I320" s="1" t="s">
        <v>21</v>
      </c>
      <c r="J320" s="1" t="s">
        <v>22</v>
      </c>
      <c r="K320" s="1"/>
      <c r="L320" s="1" t="s">
        <v>172</v>
      </c>
      <c r="M320" s="1"/>
      <c r="N320" s="1" t="s">
        <v>90</v>
      </c>
      <c r="O320" s="31">
        <v>5</v>
      </c>
      <c r="P320" s="31">
        <v>1</v>
      </c>
      <c r="Q320" s="32">
        <v>2014</v>
      </c>
    </row>
    <row r="321" spans="1:17" x14ac:dyDescent="0.25">
      <c r="A321" s="1" t="s">
        <v>177</v>
      </c>
      <c r="B321" s="31">
        <v>29.9</v>
      </c>
      <c r="C321" s="1" t="s">
        <v>20</v>
      </c>
      <c r="D321" s="2">
        <v>42644</v>
      </c>
      <c r="E321" s="2">
        <v>42644</v>
      </c>
      <c r="F321" s="17">
        <v>880000</v>
      </c>
      <c r="G321" s="17">
        <v>29431.439999999999</v>
      </c>
      <c r="H321" s="1"/>
      <c r="I321" s="1" t="s">
        <v>21</v>
      </c>
      <c r="J321" s="1" t="s">
        <v>22</v>
      </c>
      <c r="K321" s="1"/>
      <c r="L321" s="1" t="s">
        <v>172</v>
      </c>
      <c r="M321" s="1"/>
      <c r="N321" s="1" t="s">
        <v>178</v>
      </c>
      <c r="O321" s="31">
        <v>1</v>
      </c>
      <c r="P321" s="31">
        <v>1</v>
      </c>
      <c r="Q321" s="32">
        <v>2007</v>
      </c>
    </row>
    <row r="322" spans="1:17" x14ac:dyDescent="0.25">
      <c r="A322" s="1" t="s">
        <v>190</v>
      </c>
      <c r="B322" s="31">
        <v>99.1</v>
      </c>
      <c r="C322" s="1" t="s">
        <v>20</v>
      </c>
      <c r="D322" s="2">
        <v>42705</v>
      </c>
      <c r="E322" s="2">
        <v>42705</v>
      </c>
      <c r="F322" s="17">
        <v>2925000</v>
      </c>
      <c r="G322" s="17">
        <v>29515.64</v>
      </c>
      <c r="H322" s="1"/>
      <c r="I322" s="1" t="s">
        <v>21</v>
      </c>
      <c r="J322" s="1" t="s">
        <v>32</v>
      </c>
      <c r="K322" s="1"/>
      <c r="L322" s="1" t="s">
        <v>172</v>
      </c>
      <c r="M322" s="1"/>
      <c r="N322" s="1" t="s">
        <v>189</v>
      </c>
      <c r="O322" s="31">
        <v>3</v>
      </c>
      <c r="P322" s="31">
        <v>1</v>
      </c>
      <c r="Q322" s="32">
        <v>2008</v>
      </c>
    </row>
    <row r="323" spans="1:17" x14ac:dyDescent="0.25">
      <c r="A323" s="1" t="s">
        <v>184</v>
      </c>
      <c r="B323" s="31">
        <v>40.5</v>
      </c>
      <c r="C323" s="1" t="s">
        <v>20</v>
      </c>
      <c r="D323" s="2">
        <v>42675</v>
      </c>
      <c r="E323" s="2">
        <v>42675</v>
      </c>
      <c r="F323" s="17">
        <v>1200000</v>
      </c>
      <c r="G323" s="17">
        <v>29629.63</v>
      </c>
      <c r="H323" s="1"/>
      <c r="I323" s="1" t="s">
        <v>21</v>
      </c>
      <c r="J323" s="1" t="s">
        <v>22</v>
      </c>
      <c r="K323" s="1"/>
      <c r="L323" s="1" t="s">
        <v>172</v>
      </c>
      <c r="M323" s="1"/>
      <c r="N323" s="1" t="s">
        <v>128</v>
      </c>
      <c r="O323" s="31">
        <v>4</v>
      </c>
      <c r="P323" s="31">
        <v>1</v>
      </c>
      <c r="Q323" s="32">
        <v>2008</v>
      </c>
    </row>
    <row r="324" spans="1:17" x14ac:dyDescent="0.25">
      <c r="A324" s="1" t="s">
        <v>185</v>
      </c>
      <c r="B324" s="31">
        <v>51.9</v>
      </c>
      <c r="C324" s="1" t="s">
        <v>20</v>
      </c>
      <c r="D324" s="2">
        <v>42675</v>
      </c>
      <c r="E324" s="2">
        <v>42675</v>
      </c>
      <c r="F324" s="17">
        <v>1540000</v>
      </c>
      <c r="G324" s="17">
        <v>29672.45</v>
      </c>
      <c r="H324" s="1"/>
      <c r="I324" s="1" t="s">
        <v>21</v>
      </c>
      <c r="J324" s="1" t="s">
        <v>22</v>
      </c>
      <c r="K324" s="1"/>
      <c r="L324" s="1" t="s">
        <v>172</v>
      </c>
      <c r="M324" s="1"/>
      <c r="N324" s="1" t="s">
        <v>187</v>
      </c>
      <c r="O324" s="31">
        <v>2</v>
      </c>
      <c r="P324" s="31">
        <v>1</v>
      </c>
      <c r="Q324" s="32">
        <v>2013</v>
      </c>
    </row>
    <row r="325" spans="1:17" x14ac:dyDescent="0.25">
      <c r="A325" s="1" t="s">
        <v>185</v>
      </c>
      <c r="B325" s="31">
        <v>40.4</v>
      </c>
      <c r="C325" s="1" t="s">
        <v>20</v>
      </c>
      <c r="D325" s="2">
        <v>42767</v>
      </c>
      <c r="E325" s="2">
        <v>42795</v>
      </c>
      <c r="F325" s="17">
        <v>1200000</v>
      </c>
      <c r="G325" s="17">
        <v>29702.97</v>
      </c>
      <c r="H325" s="1"/>
      <c r="I325" s="1" t="s">
        <v>21</v>
      </c>
      <c r="J325" s="1" t="s">
        <v>22</v>
      </c>
      <c r="K325" s="1"/>
      <c r="L325" s="1" t="s">
        <v>172</v>
      </c>
      <c r="M325" s="1"/>
      <c r="N325" s="1" t="s">
        <v>174</v>
      </c>
      <c r="O325" s="31">
        <v>5</v>
      </c>
      <c r="P325" s="31">
        <v>1</v>
      </c>
      <c r="Q325" s="32">
        <v>2009</v>
      </c>
    </row>
    <row r="326" spans="1:17" x14ac:dyDescent="0.25">
      <c r="A326" s="1" t="s">
        <v>186</v>
      </c>
      <c r="B326" s="31">
        <v>21.3</v>
      </c>
      <c r="C326" s="1" t="s">
        <v>20</v>
      </c>
      <c r="D326" s="2">
        <v>42675</v>
      </c>
      <c r="E326" s="2">
        <v>42705</v>
      </c>
      <c r="F326" s="17">
        <v>633780</v>
      </c>
      <c r="G326" s="17">
        <v>29754.93</v>
      </c>
      <c r="H326" s="1"/>
      <c r="I326" s="1" t="s">
        <v>21</v>
      </c>
      <c r="J326" s="1" t="s">
        <v>22</v>
      </c>
      <c r="K326" s="1"/>
      <c r="L326" s="1" t="s">
        <v>172</v>
      </c>
      <c r="M326" s="1"/>
      <c r="N326" s="1" t="s">
        <v>189</v>
      </c>
      <c r="O326" s="31">
        <v>2</v>
      </c>
      <c r="P326" s="31">
        <v>1</v>
      </c>
      <c r="Q326" s="32">
        <v>2012</v>
      </c>
    </row>
    <row r="327" spans="1:17" x14ac:dyDescent="0.25">
      <c r="A327" s="1" t="s">
        <v>184</v>
      </c>
      <c r="B327" s="31">
        <v>42.8</v>
      </c>
      <c r="C327" s="1" t="s">
        <v>20</v>
      </c>
      <c r="D327" s="2">
        <v>42644</v>
      </c>
      <c r="E327" s="2">
        <v>42644</v>
      </c>
      <c r="F327" s="17">
        <v>1280000</v>
      </c>
      <c r="G327" s="17">
        <v>29906.54</v>
      </c>
      <c r="H327" s="1"/>
      <c r="I327" s="1" t="s">
        <v>21</v>
      </c>
      <c r="J327" s="1" t="s">
        <v>22</v>
      </c>
      <c r="K327" s="1"/>
      <c r="L327" s="1" t="s">
        <v>172</v>
      </c>
      <c r="M327" s="1"/>
      <c r="N327" s="1" t="s">
        <v>183</v>
      </c>
      <c r="O327" s="31">
        <v>2</v>
      </c>
      <c r="P327" s="31">
        <v>1</v>
      </c>
      <c r="Q327" s="32">
        <v>2007</v>
      </c>
    </row>
    <row r="328" spans="1:17" x14ac:dyDescent="0.25">
      <c r="A328" s="1" t="s">
        <v>190</v>
      </c>
      <c r="B328" s="31">
        <v>39.799999999999997</v>
      </c>
      <c r="C328" s="1" t="s">
        <v>20</v>
      </c>
      <c r="D328" s="2">
        <v>42795</v>
      </c>
      <c r="E328" s="2">
        <v>42795</v>
      </c>
      <c r="F328" s="17">
        <v>1200000</v>
      </c>
      <c r="G328" s="17">
        <v>30150.75</v>
      </c>
      <c r="H328" s="1"/>
      <c r="I328" s="1" t="s">
        <v>21</v>
      </c>
      <c r="J328" s="1" t="s">
        <v>22</v>
      </c>
      <c r="K328" s="1"/>
      <c r="L328" s="1" t="s">
        <v>172</v>
      </c>
      <c r="M328" s="1"/>
      <c r="N328" s="1"/>
      <c r="O328" s="31">
        <v>1</v>
      </c>
      <c r="P328" s="31">
        <v>1</v>
      </c>
      <c r="Q328" s="32">
        <v>2006</v>
      </c>
    </row>
    <row r="329" spans="1:17" x14ac:dyDescent="0.25">
      <c r="A329" s="1" t="s">
        <v>173</v>
      </c>
      <c r="B329" s="31">
        <v>59.3</v>
      </c>
      <c r="C329" s="1" t="s">
        <v>20</v>
      </c>
      <c r="D329" s="2">
        <v>42795</v>
      </c>
      <c r="E329" s="2">
        <v>42795</v>
      </c>
      <c r="F329" s="17">
        <v>1800000</v>
      </c>
      <c r="G329" s="17">
        <v>30354.13</v>
      </c>
      <c r="H329" s="1"/>
      <c r="I329" s="1" t="s">
        <v>21</v>
      </c>
      <c r="J329" s="1" t="s">
        <v>22</v>
      </c>
      <c r="K329" s="1"/>
      <c r="L329" s="1" t="s">
        <v>172</v>
      </c>
      <c r="M329" s="1"/>
      <c r="N329" s="1" t="s">
        <v>174</v>
      </c>
      <c r="O329" s="31">
        <v>3</v>
      </c>
      <c r="P329" s="31">
        <v>1</v>
      </c>
      <c r="Q329" s="32">
        <v>2006</v>
      </c>
    </row>
    <row r="330" spans="1:17" x14ac:dyDescent="0.25">
      <c r="A330" s="1" t="s">
        <v>177</v>
      </c>
      <c r="B330" s="31">
        <v>39.5</v>
      </c>
      <c r="C330" s="1" t="s">
        <v>20</v>
      </c>
      <c r="D330" s="2">
        <v>42675</v>
      </c>
      <c r="E330" s="2">
        <v>42675</v>
      </c>
      <c r="F330" s="17">
        <v>1200000</v>
      </c>
      <c r="G330" s="17">
        <v>30379.75</v>
      </c>
      <c r="H330" s="1"/>
      <c r="I330" s="1" t="s">
        <v>21</v>
      </c>
      <c r="J330" s="1" t="s">
        <v>22</v>
      </c>
      <c r="K330" s="1"/>
      <c r="L330" s="1" t="s">
        <v>172</v>
      </c>
      <c r="M330" s="1"/>
      <c r="N330" s="1" t="s">
        <v>178</v>
      </c>
      <c r="O330" s="31">
        <v>1</v>
      </c>
      <c r="P330" s="31">
        <v>1</v>
      </c>
      <c r="Q330" s="32">
        <v>2011</v>
      </c>
    </row>
    <row r="331" spans="1:17" x14ac:dyDescent="0.25">
      <c r="A331" s="1" t="s">
        <v>199</v>
      </c>
      <c r="B331" s="31">
        <v>44.2</v>
      </c>
      <c r="C331" s="1" t="s">
        <v>20</v>
      </c>
      <c r="D331" s="2">
        <v>42705</v>
      </c>
      <c r="E331" s="2">
        <v>42705</v>
      </c>
      <c r="F331" s="17">
        <v>1350000</v>
      </c>
      <c r="G331" s="17">
        <v>30542.99</v>
      </c>
      <c r="H331" s="1"/>
      <c r="I331" s="1" t="s">
        <v>21</v>
      </c>
      <c r="J331" s="1" t="s">
        <v>22</v>
      </c>
      <c r="K331" s="1"/>
      <c r="L331" s="1" t="s">
        <v>172</v>
      </c>
      <c r="M331" s="1"/>
      <c r="N331" s="1" t="s">
        <v>128</v>
      </c>
      <c r="O331" s="31">
        <v>2</v>
      </c>
      <c r="P331" s="31">
        <v>1</v>
      </c>
      <c r="Q331" s="32">
        <v>2010</v>
      </c>
    </row>
    <row r="332" spans="1:17" x14ac:dyDescent="0.25">
      <c r="A332" s="1" t="s">
        <v>206</v>
      </c>
      <c r="B332" s="31">
        <v>48.3</v>
      </c>
      <c r="C332" s="1" t="s">
        <v>20</v>
      </c>
      <c r="D332" s="2">
        <v>42736</v>
      </c>
      <c r="E332" s="2">
        <v>42736</v>
      </c>
      <c r="F332" s="17">
        <v>1480000</v>
      </c>
      <c r="G332" s="17">
        <v>30641.82</v>
      </c>
      <c r="H332" s="1"/>
      <c r="I332" s="1" t="s">
        <v>21</v>
      </c>
      <c r="J332" s="1" t="s">
        <v>22</v>
      </c>
      <c r="K332" s="1"/>
      <c r="L332" s="1" t="s">
        <v>172</v>
      </c>
      <c r="M332" s="1"/>
      <c r="N332" s="1" t="s">
        <v>191</v>
      </c>
      <c r="O332" s="31">
        <v>5</v>
      </c>
      <c r="P332" s="31">
        <v>1</v>
      </c>
      <c r="Q332" s="32">
        <v>2004</v>
      </c>
    </row>
    <row r="333" spans="1:17" x14ac:dyDescent="0.25">
      <c r="A333" s="1" t="s">
        <v>190</v>
      </c>
      <c r="B333" s="31">
        <v>52</v>
      </c>
      <c r="C333" s="1" t="s">
        <v>20</v>
      </c>
      <c r="D333" s="2">
        <v>42767</v>
      </c>
      <c r="E333" s="2">
        <v>42767</v>
      </c>
      <c r="F333" s="17">
        <v>1600000</v>
      </c>
      <c r="G333" s="17">
        <v>30769.23</v>
      </c>
      <c r="H333" s="1"/>
      <c r="I333" s="1" t="s">
        <v>21</v>
      </c>
      <c r="J333" s="1" t="s">
        <v>22</v>
      </c>
      <c r="K333" s="1"/>
      <c r="L333" s="1" t="s">
        <v>172</v>
      </c>
      <c r="M333" s="1"/>
      <c r="N333" s="1" t="s">
        <v>191</v>
      </c>
      <c r="O333" s="31">
        <v>4</v>
      </c>
      <c r="P333" s="31">
        <v>1</v>
      </c>
      <c r="Q333" s="32">
        <v>2005</v>
      </c>
    </row>
    <row r="334" spans="1:17" x14ac:dyDescent="0.25">
      <c r="A334" s="1" t="s">
        <v>217</v>
      </c>
      <c r="B334" s="31">
        <v>45.5</v>
      </c>
      <c r="C334" s="1" t="s">
        <v>20</v>
      </c>
      <c r="D334" s="2">
        <v>42795</v>
      </c>
      <c r="E334" s="2">
        <v>42795</v>
      </c>
      <c r="F334" s="17">
        <v>1400000</v>
      </c>
      <c r="G334" s="17">
        <v>30769.23</v>
      </c>
      <c r="H334" s="1"/>
      <c r="I334" s="1" t="s">
        <v>21</v>
      </c>
      <c r="J334" s="1" t="s">
        <v>22</v>
      </c>
      <c r="K334" s="1"/>
      <c r="L334" s="1" t="s">
        <v>172</v>
      </c>
      <c r="M334" s="1"/>
      <c r="N334" s="1" t="s">
        <v>214</v>
      </c>
      <c r="O334" s="31">
        <v>4</v>
      </c>
      <c r="P334" s="31">
        <v>1</v>
      </c>
      <c r="Q334" s="32">
        <v>2006</v>
      </c>
    </row>
    <row r="335" spans="1:17" x14ac:dyDescent="0.25">
      <c r="A335" s="1" t="s">
        <v>193</v>
      </c>
      <c r="B335" s="31">
        <v>99.3</v>
      </c>
      <c r="C335" s="1" t="s">
        <v>20</v>
      </c>
      <c r="D335" s="2">
        <v>42675</v>
      </c>
      <c r="E335" s="2">
        <v>42705</v>
      </c>
      <c r="F335" s="17">
        <v>3068000</v>
      </c>
      <c r="G335" s="17">
        <v>30896.27</v>
      </c>
      <c r="H335" s="1"/>
      <c r="I335" s="1" t="s">
        <v>21</v>
      </c>
      <c r="J335" s="1" t="s">
        <v>18</v>
      </c>
      <c r="K335" s="1"/>
      <c r="L335" s="1" t="s">
        <v>172</v>
      </c>
      <c r="M335" s="1"/>
      <c r="N335" s="1" t="s">
        <v>211</v>
      </c>
      <c r="O335" s="31"/>
      <c r="P335" s="31">
        <v>1</v>
      </c>
      <c r="Q335" s="32">
        <v>2016</v>
      </c>
    </row>
    <row r="336" spans="1:17" x14ac:dyDescent="0.25">
      <c r="A336" s="1" t="s">
        <v>188</v>
      </c>
      <c r="B336" s="31">
        <v>50.3</v>
      </c>
      <c r="C336" s="1" t="s">
        <v>20</v>
      </c>
      <c r="D336" s="2">
        <v>42795</v>
      </c>
      <c r="E336" s="2">
        <v>42795</v>
      </c>
      <c r="F336" s="17">
        <v>1560000</v>
      </c>
      <c r="G336" s="17">
        <v>31013.919999999998</v>
      </c>
      <c r="H336" s="1"/>
      <c r="I336" s="1" t="s">
        <v>21</v>
      </c>
      <c r="J336" s="1" t="s">
        <v>22</v>
      </c>
      <c r="K336" s="1"/>
      <c r="L336" s="1" t="s">
        <v>172</v>
      </c>
      <c r="M336" s="1"/>
      <c r="N336" s="1" t="s">
        <v>213</v>
      </c>
      <c r="O336" s="31">
        <v>3</v>
      </c>
      <c r="P336" s="31">
        <v>1</v>
      </c>
      <c r="Q336" s="32">
        <v>2012</v>
      </c>
    </row>
    <row r="337" spans="1:17" x14ac:dyDescent="0.25">
      <c r="A337" s="1" t="s">
        <v>179</v>
      </c>
      <c r="B337" s="31">
        <v>48.4</v>
      </c>
      <c r="C337" s="1" t="s">
        <v>20</v>
      </c>
      <c r="D337" s="2">
        <v>42767</v>
      </c>
      <c r="E337" s="2">
        <v>42795</v>
      </c>
      <c r="F337" s="17">
        <v>1528000</v>
      </c>
      <c r="G337" s="17">
        <v>31570.25</v>
      </c>
      <c r="H337" s="1"/>
      <c r="I337" s="1" t="s">
        <v>21</v>
      </c>
      <c r="J337" s="1" t="s">
        <v>22</v>
      </c>
      <c r="K337" s="1"/>
      <c r="L337" s="1" t="s">
        <v>172</v>
      </c>
      <c r="M337" s="1"/>
      <c r="N337" s="1" t="s">
        <v>180</v>
      </c>
      <c r="O337" s="31">
        <v>2</v>
      </c>
      <c r="P337" s="31">
        <v>1</v>
      </c>
      <c r="Q337" s="32">
        <v>2017</v>
      </c>
    </row>
    <row r="338" spans="1:17" x14ac:dyDescent="0.25">
      <c r="A338" s="1" t="s">
        <v>205</v>
      </c>
      <c r="B338" s="31">
        <v>47.6</v>
      </c>
      <c r="C338" s="1" t="s">
        <v>20</v>
      </c>
      <c r="D338" s="2">
        <v>42675</v>
      </c>
      <c r="E338" s="2">
        <v>42675</v>
      </c>
      <c r="F338" s="17">
        <v>1520000</v>
      </c>
      <c r="G338" s="17">
        <v>31932.77</v>
      </c>
      <c r="H338" s="1"/>
      <c r="I338" s="1" t="s">
        <v>21</v>
      </c>
      <c r="J338" s="1" t="s">
        <v>22</v>
      </c>
      <c r="K338" s="1"/>
      <c r="L338" s="1" t="s">
        <v>172</v>
      </c>
      <c r="M338" s="1"/>
      <c r="N338" s="1" t="s">
        <v>180</v>
      </c>
      <c r="O338" s="31">
        <v>1</v>
      </c>
      <c r="P338" s="31">
        <v>1</v>
      </c>
      <c r="Q338" s="32">
        <v>2002</v>
      </c>
    </row>
    <row r="339" spans="1:17" x14ac:dyDescent="0.25">
      <c r="A339" s="1" t="s">
        <v>182</v>
      </c>
      <c r="B339" s="31">
        <v>59.7</v>
      </c>
      <c r="C339" s="1" t="s">
        <v>20</v>
      </c>
      <c r="D339" s="2">
        <v>42705</v>
      </c>
      <c r="E339" s="2">
        <v>42705</v>
      </c>
      <c r="F339" s="17">
        <v>1910000</v>
      </c>
      <c r="G339" s="17">
        <v>31993.3</v>
      </c>
      <c r="H339" s="1"/>
      <c r="I339" s="1" t="s">
        <v>21</v>
      </c>
      <c r="J339" s="1" t="s">
        <v>22</v>
      </c>
      <c r="K339" s="1"/>
      <c r="L339" s="1" t="s">
        <v>172</v>
      </c>
      <c r="M339" s="1"/>
      <c r="N339" s="1" t="s">
        <v>183</v>
      </c>
      <c r="O339" s="31">
        <v>5</v>
      </c>
      <c r="P339" s="31">
        <v>2</v>
      </c>
      <c r="Q339" s="32">
        <v>2016</v>
      </c>
    </row>
    <row r="340" spans="1:17" x14ac:dyDescent="0.25">
      <c r="A340" s="1" t="s">
        <v>182</v>
      </c>
      <c r="B340" s="31">
        <v>59.7</v>
      </c>
      <c r="C340" s="1" t="s">
        <v>20</v>
      </c>
      <c r="D340" s="2">
        <v>42705</v>
      </c>
      <c r="E340" s="2">
        <v>42705</v>
      </c>
      <c r="F340" s="17">
        <v>1910000</v>
      </c>
      <c r="G340" s="17">
        <v>31993.3</v>
      </c>
      <c r="H340" s="1"/>
      <c r="I340" s="1" t="s">
        <v>21</v>
      </c>
      <c r="J340" s="1" t="s">
        <v>22</v>
      </c>
      <c r="K340" s="1"/>
      <c r="L340" s="1" t="s">
        <v>172</v>
      </c>
      <c r="M340" s="1"/>
      <c r="N340" s="1" t="s">
        <v>183</v>
      </c>
      <c r="O340" s="31">
        <v>5</v>
      </c>
      <c r="P340" s="31">
        <v>2</v>
      </c>
      <c r="Q340" s="32">
        <v>2016</v>
      </c>
    </row>
    <row r="341" spans="1:17" x14ac:dyDescent="0.25">
      <c r="A341" s="1" t="s">
        <v>185</v>
      </c>
      <c r="B341" s="31">
        <v>48.9</v>
      </c>
      <c r="C341" s="1" t="s">
        <v>20</v>
      </c>
      <c r="D341" s="2">
        <v>42705</v>
      </c>
      <c r="E341" s="2">
        <v>42705</v>
      </c>
      <c r="F341" s="17">
        <v>1615000</v>
      </c>
      <c r="G341" s="17">
        <v>33026.58</v>
      </c>
      <c r="H341" s="1"/>
      <c r="I341" s="1" t="s">
        <v>21</v>
      </c>
      <c r="J341" s="1" t="s">
        <v>22</v>
      </c>
      <c r="K341" s="1"/>
      <c r="L341" s="1" t="s">
        <v>172</v>
      </c>
      <c r="M341" s="1"/>
      <c r="N341" s="1" t="s">
        <v>174</v>
      </c>
      <c r="O341" s="31">
        <v>4</v>
      </c>
      <c r="P341" s="31">
        <v>1</v>
      </c>
      <c r="Q341" s="32">
        <v>2002</v>
      </c>
    </row>
    <row r="342" spans="1:17" x14ac:dyDescent="0.25">
      <c r="A342" s="1" t="s">
        <v>195</v>
      </c>
      <c r="B342" s="31">
        <v>51.7</v>
      </c>
      <c r="C342" s="1" t="s">
        <v>20</v>
      </c>
      <c r="D342" s="2">
        <v>42736</v>
      </c>
      <c r="E342" s="2">
        <v>42767</v>
      </c>
      <c r="F342" s="17">
        <v>1710000</v>
      </c>
      <c r="G342" s="17">
        <v>33075.440000000002</v>
      </c>
      <c r="H342" s="1"/>
      <c r="I342" s="1" t="s">
        <v>21</v>
      </c>
      <c r="J342" s="1" t="s">
        <v>22</v>
      </c>
      <c r="K342" s="1"/>
      <c r="L342" s="1" t="s">
        <v>172</v>
      </c>
      <c r="M342" s="1"/>
      <c r="N342" s="1" t="s">
        <v>211</v>
      </c>
      <c r="O342" s="31">
        <v>3</v>
      </c>
      <c r="P342" s="31">
        <v>1</v>
      </c>
      <c r="Q342" s="32">
        <v>2008</v>
      </c>
    </row>
    <row r="343" spans="1:17" x14ac:dyDescent="0.25">
      <c r="A343" s="1" t="s">
        <v>185</v>
      </c>
      <c r="B343" s="31">
        <v>60.5</v>
      </c>
      <c r="C343" s="1" t="s">
        <v>20</v>
      </c>
      <c r="D343" s="2">
        <v>42736</v>
      </c>
      <c r="E343" s="2">
        <v>42736</v>
      </c>
      <c r="F343" s="17">
        <v>2100000</v>
      </c>
      <c r="G343" s="17">
        <v>34710.74</v>
      </c>
      <c r="H343" s="1"/>
      <c r="I343" s="1" t="s">
        <v>21</v>
      </c>
      <c r="J343" s="1" t="s">
        <v>32</v>
      </c>
      <c r="K343" s="1"/>
      <c r="L343" s="1" t="s">
        <v>172</v>
      </c>
      <c r="M343" s="1"/>
      <c r="N343" s="1" t="s">
        <v>187</v>
      </c>
      <c r="O343" s="31">
        <v>3</v>
      </c>
      <c r="P343" s="31">
        <v>2</v>
      </c>
      <c r="Q343" s="32">
        <v>2005</v>
      </c>
    </row>
    <row r="344" spans="1:17" x14ac:dyDescent="0.25">
      <c r="A344" s="1" t="s">
        <v>185</v>
      </c>
      <c r="B344" s="31">
        <v>60.5</v>
      </c>
      <c r="C344" s="1" t="s">
        <v>20</v>
      </c>
      <c r="D344" s="2">
        <v>42736</v>
      </c>
      <c r="E344" s="2">
        <v>42736</v>
      </c>
      <c r="F344" s="17">
        <v>2100000</v>
      </c>
      <c r="G344" s="17">
        <v>34710.74</v>
      </c>
      <c r="H344" s="1"/>
      <c r="I344" s="1" t="s">
        <v>21</v>
      </c>
      <c r="J344" s="1" t="s">
        <v>32</v>
      </c>
      <c r="K344" s="1"/>
      <c r="L344" s="1" t="s">
        <v>172</v>
      </c>
      <c r="M344" s="1"/>
      <c r="N344" s="1" t="s">
        <v>187</v>
      </c>
      <c r="O344" s="31">
        <v>3</v>
      </c>
      <c r="P344" s="31">
        <v>2</v>
      </c>
      <c r="Q344" s="32">
        <v>2005</v>
      </c>
    </row>
    <row r="345" spans="1:17" x14ac:dyDescent="0.25">
      <c r="A345" s="1" t="s">
        <v>206</v>
      </c>
      <c r="B345" s="31">
        <v>48.4</v>
      </c>
      <c r="C345" s="1" t="s">
        <v>20</v>
      </c>
      <c r="D345" s="2">
        <v>42675</v>
      </c>
      <c r="E345" s="2">
        <v>42675</v>
      </c>
      <c r="F345" s="17">
        <v>1700000</v>
      </c>
      <c r="G345" s="17">
        <v>35123.97</v>
      </c>
      <c r="H345" s="1"/>
      <c r="I345" s="1" t="s">
        <v>21</v>
      </c>
      <c r="J345" s="1" t="s">
        <v>22</v>
      </c>
      <c r="K345" s="1"/>
      <c r="L345" s="1" t="s">
        <v>172</v>
      </c>
      <c r="M345" s="1"/>
      <c r="N345" s="1" t="s">
        <v>191</v>
      </c>
      <c r="O345" s="31">
        <v>4</v>
      </c>
      <c r="P345" s="31">
        <v>2</v>
      </c>
      <c r="Q345" s="32">
        <v>2006</v>
      </c>
    </row>
    <row r="346" spans="1:17" x14ac:dyDescent="0.25">
      <c r="A346" s="1" t="s">
        <v>206</v>
      </c>
      <c r="B346" s="31">
        <v>48.4</v>
      </c>
      <c r="C346" s="1" t="s">
        <v>20</v>
      </c>
      <c r="D346" s="2">
        <v>42675</v>
      </c>
      <c r="E346" s="2">
        <v>42675</v>
      </c>
      <c r="F346" s="17">
        <v>1700000</v>
      </c>
      <c r="G346" s="17">
        <v>35123.97</v>
      </c>
      <c r="H346" s="1"/>
      <c r="I346" s="1" t="s">
        <v>21</v>
      </c>
      <c r="J346" s="1" t="s">
        <v>22</v>
      </c>
      <c r="K346" s="1"/>
      <c r="L346" s="1" t="s">
        <v>172</v>
      </c>
      <c r="M346" s="1"/>
      <c r="N346" s="1" t="s">
        <v>191</v>
      </c>
      <c r="O346" s="31">
        <v>4</v>
      </c>
      <c r="P346" s="31">
        <v>2</v>
      </c>
      <c r="Q346" s="32">
        <v>2006</v>
      </c>
    </row>
    <row r="347" spans="1:17" x14ac:dyDescent="0.25">
      <c r="A347" s="1" t="s">
        <v>177</v>
      </c>
      <c r="B347" s="31">
        <v>29.8</v>
      </c>
      <c r="C347" s="1" t="s">
        <v>20</v>
      </c>
      <c r="D347" s="2">
        <v>42614</v>
      </c>
      <c r="E347" s="2">
        <v>42644</v>
      </c>
      <c r="F347" s="17">
        <v>1100000</v>
      </c>
      <c r="G347" s="17">
        <v>36912.75</v>
      </c>
      <c r="H347" s="1"/>
      <c r="I347" s="1" t="s">
        <v>21</v>
      </c>
      <c r="J347" s="1" t="s">
        <v>32</v>
      </c>
      <c r="K347" s="1"/>
      <c r="L347" s="1" t="s">
        <v>172</v>
      </c>
      <c r="M347" s="1"/>
      <c r="N347" s="1" t="s">
        <v>178</v>
      </c>
      <c r="O347" s="31">
        <v>5</v>
      </c>
      <c r="P347" s="31">
        <v>1</v>
      </c>
      <c r="Q347" s="32">
        <v>2005</v>
      </c>
    </row>
    <row r="348" spans="1:17" s="9" customFormat="1" ht="15.75" thickBot="1" x14ac:dyDescent="0.3">
      <c r="A348" s="25"/>
      <c r="B348" s="33"/>
      <c r="C348" s="25"/>
      <c r="D348" s="25"/>
      <c r="E348" s="25"/>
      <c r="F348" s="26"/>
      <c r="G348" s="26">
        <f>SUM(G261:G347)/87</f>
        <v>27287.897471264376</v>
      </c>
      <c r="H348" s="25"/>
      <c r="I348" s="25"/>
      <c r="J348" s="25"/>
      <c r="K348" s="25"/>
      <c r="L348" s="25"/>
      <c r="M348" s="25"/>
      <c r="N348" s="25"/>
      <c r="O348" s="33"/>
      <c r="P348" s="33"/>
      <c r="Q348" s="34"/>
    </row>
    <row r="349" spans="1:17" s="6" customFormat="1" x14ac:dyDescent="0.25">
      <c r="A349" s="4" t="s">
        <v>218</v>
      </c>
      <c r="B349" s="35"/>
      <c r="C349" s="5"/>
      <c r="D349" s="5"/>
      <c r="E349" s="5"/>
      <c r="F349" s="19"/>
      <c r="G349" s="19"/>
      <c r="H349" s="5"/>
      <c r="I349" s="5"/>
      <c r="J349" s="5"/>
      <c r="K349" s="5"/>
      <c r="L349" s="5"/>
      <c r="M349" s="5"/>
      <c r="N349" s="5"/>
      <c r="O349" s="35"/>
      <c r="P349" s="35"/>
      <c r="Q349" s="36"/>
    </row>
    <row r="350" spans="1:17" x14ac:dyDescent="0.25">
      <c r="A350" s="1" t="s">
        <v>219</v>
      </c>
      <c r="B350" s="31">
        <v>62.4</v>
      </c>
      <c r="C350" s="1" t="s">
        <v>20</v>
      </c>
      <c r="D350" s="2">
        <v>42705</v>
      </c>
      <c r="E350" s="2">
        <v>42705</v>
      </c>
      <c r="F350" s="17">
        <v>1000000</v>
      </c>
      <c r="G350" s="17">
        <v>16025.64</v>
      </c>
      <c r="H350" s="1"/>
      <c r="I350" s="1" t="s">
        <v>21</v>
      </c>
      <c r="J350" s="1" t="s">
        <v>18</v>
      </c>
      <c r="K350" s="1" t="s">
        <v>220</v>
      </c>
      <c r="L350" s="1" t="s">
        <v>218</v>
      </c>
      <c r="M350" s="1"/>
      <c r="N350" s="1" t="s">
        <v>221</v>
      </c>
      <c r="O350" s="31">
        <v>5</v>
      </c>
      <c r="P350" s="31">
        <v>1</v>
      </c>
      <c r="Q350" s="32">
        <v>2016</v>
      </c>
    </row>
    <row r="351" spans="1:17" x14ac:dyDescent="0.25">
      <c r="A351" s="1" t="s">
        <v>226</v>
      </c>
      <c r="B351" s="31">
        <v>30.1</v>
      </c>
      <c r="C351" s="1" t="s">
        <v>20</v>
      </c>
      <c r="D351" s="2">
        <v>42675</v>
      </c>
      <c r="E351" s="2">
        <v>42675</v>
      </c>
      <c r="F351" s="17">
        <v>500000</v>
      </c>
      <c r="G351" s="17">
        <v>16611.3</v>
      </c>
      <c r="H351" s="1"/>
      <c r="I351" s="1" t="s">
        <v>21</v>
      </c>
      <c r="J351" s="1" t="s">
        <v>22</v>
      </c>
      <c r="K351" s="1" t="s">
        <v>220</v>
      </c>
      <c r="L351" s="1" t="s">
        <v>218</v>
      </c>
      <c r="M351" s="1"/>
      <c r="N351" s="1"/>
      <c r="O351" s="31">
        <v>2</v>
      </c>
      <c r="P351" s="31">
        <v>1</v>
      </c>
      <c r="Q351" s="32">
        <v>2005</v>
      </c>
    </row>
    <row r="352" spans="1:17" x14ac:dyDescent="0.25">
      <c r="A352" s="1" t="s">
        <v>226</v>
      </c>
      <c r="B352" s="31">
        <v>65</v>
      </c>
      <c r="C352" s="1" t="s">
        <v>20</v>
      </c>
      <c r="D352" s="2">
        <v>42644</v>
      </c>
      <c r="E352" s="2">
        <v>42644</v>
      </c>
      <c r="F352" s="17">
        <v>1100000</v>
      </c>
      <c r="G352" s="17">
        <v>16923.080000000002</v>
      </c>
      <c r="H352" s="1"/>
      <c r="I352" s="1" t="s">
        <v>21</v>
      </c>
      <c r="J352" s="1" t="s">
        <v>22</v>
      </c>
      <c r="K352" s="1" t="s">
        <v>220</v>
      </c>
      <c r="L352" s="1" t="s">
        <v>218</v>
      </c>
      <c r="M352" s="1"/>
      <c r="N352" s="1"/>
      <c r="O352" s="31">
        <v>2</v>
      </c>
      <c r="P352" s="31">
        <v>2</v>
      </c>
      <c r="Q352" s="32">
        <v>2007</v>
      </c>
    </row>
    <row r="353" spans="1:17" x14ac:dyDescent="0.25">
      <c r="A353" s="1" t="s">
        <v>226</v>
      </c>
      <c r="B353" s="31">
        <v>65</v>
      </c>
      <c r="C353" s="1" t="s">
        <v>20</v>
      </c>
      <c r="D353" s="2">
        <v>42644</v>
      </c>
      <c r="E353" s="2">
        <v>42644</v>
      </c>
      <c r="F353" s="17">
        <v>1100000</v>
      </c>
      <c r="G353" s="17">
        <v>16923.080000000002</v>
      </c>
      <c r="H353" s="1"/>
      <c r="I353" s="1" t="s">
        <v>21</v>
      </c>
      <c r="J353" s="1" t="s">
        <v>22</v>
      </c>
      <c r="K353" s="1" t="s">
        <v>220</v>
      </c>
      <c r="L353" s="1" t="s">
        <v>218</v>
      </c>
      <c r="M353" s="1"/>
      <c r="N353" s="1"/>
      <c r="O353" s="31">
        <v>2</v>
      </c>
      <c r="P353" s="31">
        <v>2</v>
      </c>
      <c r="Q353" s="32">
        <v>2007</v>
      </c>
    </row>
    <row r="354" spans="1:17" x14ac:dyDescent="0.25">
      <c r="A354" s="1" t="s">
        <v>226</v>
      </c>
      <c r="B354" s="31">
        <v>35.299999999999997</v>
      </c>
      <c r="C354" s="1" t="s">
        <v>20</v>
      </c>
      <c r="D354" s="2">
        <v>42705</v>
      </c>
      <c r="E354" s="2">
        <v>42705</v>
      </c>
      <c r="F354" s="17">
        <v>600000</v>
      </c>
      <c r="G354" s="17">
        <v>16997.169999999998</v>
      </c>
      <c r="H354" s="1"/>
      <c r="I354" s="1" t="s">
        <v>21</v>
      </c>
      <c r="J354" s="1" t="s">
        <v>22</v>
      </c>
      <c r="K354" s="1" t="s">
        <v>220</v>
      </c>
      <c r="L354" s="1" t="s">
        <v>218</v>
      </c>
      <c r="M354" s="1"/>
      <c r="N354" s="1"/>
      <c r="O354" s="31">
        <v>4</v>
      </c>
      <c r="P354" s="31">
        <v>1</v>
      </c>
      <c r="Q354" s="32">
        <v>2004</v>
      </c>
    </row>
    <row r="355" spans="1:17" x14ac:dyDescent="0.25">
      <c r="A355" s="1" t="s">
        <v>226</v>
      </c>
      <c r="B355" s="31">
        <v>45.3</v>
      </c>
      <c r="C355" s="1" t="s">
        <v>20</v>
      </c>
      <c r="D355" s="2">
        <v>42675</v>
      </c>
      <c r="E355" s="2">
        <v>42675</v>
      </c>
      <c r="F355" s="17">
        <v>770000</v>
      </c>
      <c r="G355" s="17">
        <v>16997.79</v>
      </c>
      <c r="H355" s="1"/>
      <c r="I355" s="1" t="s">
        <v>21</v>
      </c>
      <c r="J355" s="1" t="s">
        <v>18</v>
      </c>
      <c r="K355" s="1" t="s">
        <v>220</v>
      </c>
      <c r="L355" s="1" t="s">
        <v>218</v>
      </c>
      <c r="M355" s="1"/>
      <c r="N355" s="1"/>
      <c r="O355" s="31">
        <v>5</v>
      </c>
      <c r="P355" s="31">
        <v>1</v>
      </c>
      <c r="Q355" s="32">
        <v>1999</v>
      </c>
    </row>
    <row r="356" spans="1:17" x14ac:dyDescent="0.25">
      <c r="A356" s="1" t="s">
        <v>226</v>
      </c>
      <c r="B356" s="31">
        <v>46.6</v>
      </c>
      <c r="C356" s="1" t="s">
        <v>20</v>
      </c>
      <c r="D356" s="2">
        <v>42767</v>
      </c>
      <c r="E356" s="2">
        <v>42795</v>
      </c>
      <c r="F356" s="17">
        <v>800000</v>
      </c>
      <c r="G356" s="17">
        <v>17167.38</v>
      </c>
      <c r="H356" s="1"/>
      <c r="I356" s="1" t="s">
        <v>21</v>
      </c>
      <c r="J356" s="1" t="s">
        <v>22</v>
      </c>
      <c r="K356" s="1" t="s">
        <v>220</v>
      </c>
      <c r="L356" s="1" t="s">
        <v>218</v>
      </c>
      <c r="M356" s="1"/>
      <c r="N356" s="1"/>
      <c r="O356" s="31">
        <v>9</v>
      </c>
      <c r="P356" s="31">
        <v>2</v>
      </c>
      <c r="Q356" s="32">
        <v>2010</v>
      </c>
    </row>
    <row r="357" spans="1:17" x14ac:dyDescent="0.25">
      <c r="A357" s="1" t="s">
        <v>226</v>
      </c>
      <c r="B357" s="31">
        <v>46.6</v>
      </c>
      <c r="C357" s="1" t="s">
        <v>20</v>
      </c>
      <c r="D357" s="2">
        <v>42767</v>
      </c>
      <c r="E357" s="2">
        <v>42795</v>
      </c>
      <c r="F357" s="17">
        <v>800000</v>
      </c>
      <c r="G357" s="17">
        <v>17167.38</v>
      </c>
      <c r="H357" s="1"/>
      <c r="I357" s="1" t="s">
        <v>21</v>
      </c>
      <c r="J357" s="1" t="s">
        <v>22</v>
      </c>
      <c r="K357" s="1" t="s">
        <v>220</v>
      </c>
      <c r="L357" s="1" t="s">
        <v>218</v>
      </c>
      <c r="M357" s="1"/>
      <c r="N357" s="1"/>
      <c r="O357" s="31">
        <v>9</v>
      </c>
      <c r="P357" s="31">
        <v>2</v>
      </c>
      <c r="Q357" s="32">
        <v>2010</v>
      </c>
    </row>
    <row r="358" spans="1:17" x14ac:dyDescent="0.25">
      <c r="A358" s="1" t="s">
        <v>228</v>
      </c>
      <c r="B358" s="31">
        <v>46.3</v>
      </c>
      <c r="C358" s="1" t="s">
        <v>20</v>
      </c>
      <c r="D358" s="2">
        <v>42767</v>
      </c>
      <c r="E358" s="2">
        <v>42795</v>
      </c>
      <c r="F358" s="17">
        <v>800000</v>
      </c>
      <c r="G358" s="17">
        <v>17278.62</v>
      </c>
      <c r="H358" s="1"/>
      <c r="I358" s="1" t="s">
        <v>21</v>
      </c>
      <c r="J358" s="1" t="s">
        <v>32</v>
      </c>
      <c r="K358" s="1" t="s">
        <v>220</v>
      </c>
      <c r="L358" s="1" t="s">
        <v>218</v>
      </c>
      <c r="M358" s="1"/>
      <c r="N358" s="1" t="s">
        <v>145</v>
      </c>
      <c r="O358" s="31">
        <v>1</v>
      </c>
      <c r="P358" s="31">
        <v>2</v>
      </c>
      <c r="Q358" s="32">
        <v>2010</v>
      </c>
    </row>
    <row r="359" spans="1:17" x14ac:dyDescent="0.25">
      <c r="A359" s="1" t="s">
        <v>228</v>
      </c>
      <c r="B359" s="31">
        <v>46.3</v>
      </c>
      <c r="C359" s="1" t="s">
        <v>20</v>
      </c>
      <c r="D359" s="2">
        <v>42767</v>
      </c>
      <c r="E359" s="2">
        <v>42795</v>
      </c>
      <c r="F359" s="17">
        <v>800000</v>
      </c>
      <c r="G359" s="17">
        <v>17278.62</v>
      </c>
      <c r="H359" s="1"/>
      <c r="I359" s="1" t="s">
        <v>21</v>
      </c>
      <c r="J359" s="1" t="s">
        <v>32</v>
      </c>
      <c r="K359" s="1" t="s">
        <v>220</v>
      </c>
      <c r="L359" s="1" t="s">
        <v>218</v>
      </c>
      <c r="M359" s="1"/>
      <c r="N359" s="1" t="s">
        <v>145</v>
      </c>
      <c r="O359" s="31">
        <v>1</v>
      </c>
      <c r="P359" s="31">
        <v>2</v>
      </c>
      <c r="Q359" s="32">
        <v>2010</v>
      </c>
    </row>
    <row r="360" spans="1:17" x14ac:dyDescent="0.25">
      <c r="A360" s="1" t="s">
        <v>226</v>
      </c>
      <c r="B360" s="31">
        <v>43</v>
      </c>
      <c r="C360" s="1" t="s">
        <v>20</v>
      </c>
      <c r="D360" s="2">
        <v>42705</v>
      </c>
      <c r="E360" s="2">
        <v>42705</v>
      </c>
      <c r="F360" s="17">
        <v>750000</v>
      </c>
      <c r="G360" s="17">
        <v>17441.86</v>
      </c>
      <c r="H360" s="1"/>
      <c r="I360" s="1" t="s">
        <v>21</v>
      </c>
      <c r="J360" s="1" t="s">
        <v>22</v>
      </c>
      <c r="K360" s="1" t="s">
        <v>220</v>
      </c>
      <c r="L360" s="1" t="s">
        <v>218</v>
      </c>
      <c r="M360" s="1"/>
      <c r="N360" s="1"/>
      <c r="O360" s="31">
        <v>5</v>
      </c>
      <c r="P360" s="31">
        <v>2</v>
      </c>
      <c r="Q360" s="32">
        <v>2004</v>
      </c>
    </row>
    <row r="361" spans="1:17" x14ac:dyDescent="0.25">
      <c r="A361" s="1" t="s">
        <v>226</v>
      </c>
      <c r="B361" s="31">
        <v>43</v>
      </c>
      <c r="C361" s="1" t="s">
        <v>20</v>
      </c>
      <c r="D361" s="2">
        <v>42705</v>
      </c>
      <c r="E361" s="2">
        <v>42705</v>
      </c>
      <c r="F361" s="17">
        <v>750000</v>
      </c>
      <c r="G361" s="17">
        <v>17441.86</v>
      </c>
      <c r="H361" s="1"/>
      <c r="I361" s="1" t="s">
        <v>21</v>
      </c>
      <c r="J361" s="1" t="s">
        <v>22</v>
      </c>
      <c r="K361" s="1" t="s">
        <v>220</v>
      </c>
      <c r="L361" s="1" t="s">
        <v>218</v>
      </c>
      <c r="M361" s="1"/>
      <c r="N361" s="1"/>
      <c r="O361" s="31">
        <v>5</v>
      </c>
      <c r="P361" s="31">
        <v>2</v>
      </c>
      <c r="Q361" s="32">
        <v>2004</v>
      </c>
    </row>
    <row r="362" spans="1:17" x14ac:dyDescent="0.25">
      <c r="A362" s="1" t="s">
        <v>232</v>
      </c>
      <c r="B362" s="31">
        <v>35.9</v>
      </c>
      <c r="C362" s="1" t="s">
        <v>20</v>
      </c>
      <c r="D362" s="2">
        <v>42675</v>
      </c>
      <c r="E362" s="2">
        <v>42675</v>
      </c>
      <c r="F362" s="17">
        <v>628000</v>
      </c>
      <c r="G362" s="17">
        <v>17493.04</v>
      </c>
      <c r="H362" s="1"/>
      <c r="I362" s="1" t="s">
        <v>21</v>
      </c>
      <c r="J362" s="1" t="s">
        <v>22</v>
      </c>
      <c r="K362" s="1" t="s">
        <v>220</v>
      </c>
      <c r="L362" s="1" t="s">
        <v>218</v>
      </c>
      <c r="M362" s="1"/>
      <c r="N362" s="1"/>
      <c r="O362" s="31">
        <v>3</v>
      </c>
      <c r="P362" s="31">
        <v>1</v>
      </c>
      <c r="Q362" s="32">
        <v>2004</v>
      </c>
    </row>
    <row r="363" spans="1:17" x14ac:dyDescent="0.25">
      <c r="A363" s="1" t="s">
        <v>226</v>
      </c>
      <c r="B363" s="31">
        <v>17</v>
      </c>
      <c r="C363" s="1" t="s">
        <v>20</v>
      </c>
      <c r="D363" s="2">
        <v>42767</v>
      </c>
      <c r="E363" s="2">
        <v>42767</v>
      </c>
      <c r="F363" s="17">
        <v>300000</v>
      </c>
      <c r="G363" s="17">
        <v>17647.060000000001</v>
      </c>
      <c r="H363" s="1"/>
      <c r="I363" s="1" t="s">
        <v>21</v>
      </c>
      <c r="J363" s="1" t="s">
        <v>22</v>
      </c>
      <c r="K363" s="1" t="s">
        <v>220</v>
      </c>
      <c r="L363" s="1" t="s">
        <v>218</v>
      </c>
      <c r="M363" s="1"/>
      <c r="N363" s="1"/>
      <c r="O363" s="31">
        <v>1</v>
      </c>
      <c r="P363" s="31">
        <v>1</v>
      </c>
      <c r="Q363" s="32">
        <v>2008</v>
      </c>
    </row>
    <row r="364" spans="1:17" x14ac:dyDescent="0.25">
      <c r="A364" s="1" t="s">
        <v>227</v>
      </c>
      <c r="B364" s="31">
        <v>39</v>
      </c>
      <c r="C364" s="1" t="s">
        <v>20</v>
      </c>
      <c r="D364" s="2">
        <v>42705</v>
      </c>
      <c r="E364" s="2">
        <v>42705</v>
      </c>
      <c r="F364" s="17">
        <v>700000</v>
      </c>
      <c r="G364" s="17">
        <v>17948.72</v>
      </c>
      <c r="H364" s="1"/>
      <c r="I364" s="1" t="s">
        <v>21</v>
      </c>
      <c r="J364" s="1" t="s">
        <v>22</v>
      </c>
      <c r="K364" s="1" t="s">
        <v>220</v>
      </c>
      <c r="L364" s="1" t="s">
        <v>218</v>
      </c>
      <c r="M364" s="1"/>
      <c r="N364" s="1" t="s">
        <v>75</v>
      </c>
      <c r="O364" s="31">
        <v>5</v>
      </c>
      <c r="P364" s="31">
        <v>1</v>
      </c>
      <c r="Q364" s="32">
        <v>2006</v>
      </c>
    </row>
    <row r="365" spans="1:17" x14ac:dyDescent="0.25">
      <c r="A365" s="1" t="s">
        <v>230</v>
      </c>
      <c r="B365" s="31">
        <v>61.6</v>
      </c>
      <c r="C365" s="1" t="s">
        <v>20</v>
      </c>
      <c r="D365" s="2">
        <v>42795</v>
      </c>
      <c r="E365" s="2">
        <v>42795</v>
      </c>
      <c r="F365" s="17">
        <v>1144000</v>
      </c>
      <c r="G365" s="17">
        <v>18571.43</v>
      </c>
      <c r="H365" s="1"/>
      <c r="I365" s="1" t="s">
        <v>21</v>
      </c>
      <c r="J365" s="1" t="s">
        <v>22</v>
      </c>
      <c r="K365" s="1" t="s">
        <v>220</v>
      </c>
      <c r="L365" s="1" t="s">
        <v>218</v>
      </c>
      <c r="M365" s="1"/>
      <c r="N365" s="1" t="s">
        <v>239</v>
      </c>
      <c r="O365" s="31">
        <v>2</v>
      </c>
      <c r="P365" s="31">
        <v>2</v>
      </c>
      <c r="Q365" s="32">
        <v>2007</v>
      </c>
    </row>
    <row r="366" spans="1:17" x14ac:dyDescent="0.25">
      <c r="A366" s="1" t="s">
        <v>230</v>
      </c>
      <c r="B366" s="31">
        <v>61.6</v>
      </c>
      <c r="C366" s="1" t="s">
        <v>20</v>
      </c>
      <c r="D366" s="2">
        <v>42795</v>
      </c>
      <c r="E366" s="2">
        <v>42795</v>
      </c>
      <c r="F366" s="17">
        <v>1144000</v>
      </c>
      <c r="G366" s="17">
        <v>18571.43</v>
      </c>
      <c r="H366" s="1"/>
      <c r="I366" s="1" t="s">
        <v>21</v>
      </c>
      <c r="J366" s="1" t="s">
        <v>22</v>
      </c>
      <c r="K366" s="1" t="s">
        <v>220</v>
      </c>
      <c r="L366" s="1" t="s">
        <v>218</v>
      </c>
      <c r="M366" s="1"/>
      <c r="N366" s="1" t="s">
        <v>239</v>
      </c>
      <c r="O366" s="31">
        <v>2</v>
      </c>
      <c r="P366" s="31">
        <v>2</v>
      </c>
      <c r="Q366" s="32">
        <v>2007</v>
      </c>
    </row>
    <row r="367" spans="1:17" x14ac:dyDescent="0.25">
      <c r="A367" s="1" t="s">
        <v>226</v>
      </c>
      <c r="B367" s="31">
        <v>61.8</v>
      </c>
      <c r="C367" s="1" t="s">
        <v>20</v>
      </c>
      <c r="D367" s="2">
        <v>42767</v>
      </c>
      <c r="E367" s="2">
        <v>42767</v>
      </c>
      <c r="F367" s="17">
        <v>1150000</v>
      </c>
      <c r="G367" s="17">
        <v>18608.41</v>
      </c>
      <c r="H367" s="1"/>
      <c r="I367" s="1" t="s">
        <v>21</v>
      </c>
      <c r="J367" s="1" t="s">
        <v>22</v>
      </c>
      <c r="K367" s="1" t="s">
        <v>220</v>
      </c>
      <c r="L367" s="1" t="s">
        <v>218</v>
      </c>
      <c r="M367" s="1"/>
      <c r="N367" s="1"/>
      <c r="O367" s="31">
        <v>3</v>
      </c>
      <c r="P367" s="31">
        <v>1</v>
      </c>
      <c r="Q367" s="32">
        <v>2000</v>
      </c>
    </row>
    <row r="368" spans="1:17" x14ac:dyDescent="0.25">
      <c r="A368" s="1" t="s">
        <v>219</v>
      </c>
      <c r="B368" s="31">
        <v>85.1</v>
      </c>
      <c r="C368" s="1" t="s">
        <v>20</v>
      </c>
      <c r="D368" s="2">
        <v>42705</v>
      </c>
      <c r="E368" s="2">
        <v>42705</v>
      </c>
      <c r="F368" s="17">
        <v>1585000</v>
      </c>
      <c r="G368" s="17">
        <v>18625.150000000001</v>
      </c>
      <c r="H368" s="1"/>
      <c r="I368" s="1" t="s">
        <v>21</v>
      </c>
      <c r="J368" s="1" t="s">
        <v>22</v>
      </c>
      <c r="K368" s="1" t="s">
        <v>220</v>
      </c>
      <c r="L368" s="1" t="s">
        <v>218</v>
      </c>
      <c r="M368" s="1"/>
      <c r="N368" s="1" t="s">
        <v>221</v>
      </c>
      <c r="O368" s="31">
        <v>4</v>
      </c>
      <c r="P368" s="31">
        <v>2</v>
      </c>
      <c r="Q368" s="32">
        <v>2016</v>
      </c>
    </row>
    <row r="369" spans="1:17" x14ac:dyDescent="0.25">
      <c r="A369" s="1" t="s">
        <v>219</v>
      </c>
      <c r="B369" s="31">
        <v>85.1</v>
      </c>
      <c r="C369" s="1" t="s">
        <v>20</v>
      </c>
      <c r="D369" s="2">
        <v>42705</v>
      </c>
      <c r="E369" s="2">
        <v>42705</v>
      </c>
      <c r="F369" s="17">
        <v>1585000</v>
      </c>
      <c r="G369" s="17">
        <v>18625.150000000001</v>
      </c>
      <c r="H369" s="1"/>
      <c r="I369" s="1" t="s">
        <v>21</v>
      </c>
      <c r="J369" s="1" t="s">
        <v>22</v>
      </c>
      <c r="K369" s="1" t="s">
        <v>220</v>
      </c>
      <c r="L369" s="1" t="s">
        <v>218</v>
      </c>
      <c r="M369" s="1"/>
      <c r="N369" s="1" t="s">
        <v>221</v>
      </c>
      <c r="O369" s="31">
        <v>4</v>
      </c>
      <c r="P369" s="31">
        <v>2</v>
      </c>
      <c r="Q369" s="32">
        <v>2016</v>
      </c>
    </row>
    <row r="370" spans="1:17" x14ac:dyDescent="0.25">
      <c r="A370" s="1" t="s">
        <v>226</v>
      </c>
      <c r="B370" s="31">
        <v>64.2</v>
      </c>
      <c r="C370" s="1" t="s">
        <v>20</v>
      </c>
      <c r="D370" s="2">
        <v>42705</v>
      </c>
      <c r="E370" s="2">
        <v>42705</v>
      </c>
      <c r="F370" s="17">
        <v>1200000</v>
      </c>
      <c r="G370" s="17">
        <v>18691.59</v>
      </c>
      <c r="H370" s="1"/>
      <c r="I370" s="1" t="s">
        <v>21</v>
      </c>
      <c r="J370" s="1" t="s">
        <v>18</v>
      </c>
      <c r="K370" s="1" t="s">
        <v>220</v>
      </c>
      <c r="L370" s="1" t="s">
        <v>218</v>
      </c>
      <c r="M370" s="1"/>
      <c r="N370" s="1" t="s">
        <v>238</v>
      </c>
      <c r="O370" s="31">
        <v>2</v>
      </c>
      <c r="P370" s="31">
        <v>1</v>
      </c>
      <c r="Q370" s="32">
        <v>2016</v>
      </c>
    </row>
    <row r="371" spans="1:17" x14ac:dyDescent="0.25">
      <c r="A371" s="1" t="s">
        <v>222</v>
      </c>
      <c r="B371" s="31">
        <v>49.8</v>
      </c>
      <c r="C371" s="1" t="s">
        <v>20</v>
      </c>
      <c r="D371" s="2">
        <v>42767</v>
      </c>
      <c r="E371" s="2">
        <v>42767</v>
      </c>
      <c r="F371" s="17">
        <v>940000</v>
      </c>
      <c r="G371" s="17">
        <v>18875.5</v>
      </c>
      <c r="H371" s="1"/>
      <c r="I371" s="1" t="s">
        <v>21</v>
      </c>
      <c r="J371" s="1" t="s">
        <v>22</v>
      </c>
      <c r="K371" s="1" t="s">
        <v>220</v>
      </c>
      <c r="L371" s="1" t="s">
        <v>218</v>
      </c>
      <c r="M371" s="1"/>
      <c r="N371" s="1" t="s">
        <v>223</v>
      </c>
      <c r="O371" s="31">
        <v>3</v>
      </c>
      <c r="P371" s="31">
        <v>2</v>
      </c>
      <c r="Q371" s="32">
        <v>2002</v>
      </c>
    </row>
    <row r="372" spans="1:17" x14ac:dyDescent="0.25">
      <c r="A372" s="1" t="s">
        <v>222</v>
      </c>
      <c r="B372" s="31">
        <v>49.8</v>
      </c>
      <c r="C372" s="1" t="s">
        <v>20</v>
      </c>
      <c r="D372" s="2">
        <v>42767</v>
      </c>
      <c r="E372" s="2">
        <v>42767</v>
      </c>
      <c r="F372" s="17">
        <v>940000</v>
      </c>
      <c r="G372" s="17">
        <v>18875.5</v>
      </c>
      <c r="H372" s="1"/>
      <c r="I372" s="1" t="s">
        <v>21</v>
      </c>
      <c r="J372" s="1" t="s">
        <v>22</v>
      </c>
      <c r="K372" s="1" t="s">
        <v>220</v>
      </c>
      <c r="L372" s="1" t="s">
        <v>218</v>
      </c>
      <c r="M372" s="1"/>
      <c r="N372" s="1" t="s">
        <v>223</v>
      </c>
      <c r="O372" s="31">
        <v>3</v>
      </c>
      <c r="P372" s="31">
        <v>2</v>
      </c>
      <c r="Q372" s="32">
        <v>2002</v>
      </c>
    </row>
    <row r="373" spans="1:17" x14ac:dyDescent="0.25">
      <c r="A373" s="1" t="s">
        <v>244</v>
      </c>
      <c r="B373" s="31">
        <v>39.6</v>
      </c>
      <c r="C373" s="1" t="s">
        <v>20</v>
      </c>
      <c r="D373" s="2">
        <v>42705</v>
      </c>
      <c r="E373" s="2">
        <v>42705</v>
      </c>
      <c r="F373" s="17">
        <v>749500</v>
      </c>
      <c r="G373" s="17">
        <v>18926.77</v>
      </c>
      <c r="H373" s="1"/>
      <c r="I373" s="1" t="s">
        <v>21</v>
      </c>
      <c r="J373" s="1" t="s">
        <v>22</v>
      </c>
      <c r="K373" s="1" t="s">
        <v>220</v>
      </c>
      <c r="L373" s="1" t="s">
        <v>218</v>
      </c>
      <c r="M373" s="1"/>
      <c r="N373" s="1"/>
      <c r="O373" s="31">
        <v>2</v>
      </c>
      <c r="P373" s="31">
        <v>1</v>
      </c>
      <c r="Q373" s="32">
        <v>2016</v>
      </c>
    </row>
    <row r="374" spans="1:17" x14ac:dyDescent="0.25">
      <c r="A374" s="1" t="s">
        <v>242</v>
      </c>
      <c r="B374" s="31">
        <v>81.5</v>
      </c>
      <c r="C374" s="1" t="s">
        <v>20</v>
      </c>
      <c r="D374" s="2">
        <v>42705</v>
      </c>
      <c r="E374" s="2">
        <v>42705</v>
      </c>
      <c r="F374" s="17">
        <v>1571184.32</v>
      </c>
      <c r="G374" s="17">
        <v>19278.34</v>
      </c>
      <c r="H374" s="1"/>
      <c r="I374" s="1" t="s">
        <v>21</v>
      </c>
      <c r="J374" s="1" t="s">
        <v>22</v>
      </c>
      <c r="K374" s="1" t="s">
        <v>220</v>
      </c>
      <c r="L374" s="1" t="s">
        <v>218</v>
      </c>
      <c r="M374" s="1"/>
      <c r="N374" s="1" t="s">
        <v>243</v>
      </c>
      <c r="O374" s="31">
        <v>4</v>
      </c>
      <c r="P374" s="31">
        <v>1</v>
      </c>
      <c r="Q374" s="32">
        <v>2003</v>
      </c>
    </row>
    <row r="375" spans="1:17" x14ac:dyDescent="0.25">
      <c r="A375" s="1" t="s">
        <v>232</v>
      </c>
      <c r="B375" s="31">
        <v>36.200000000000003</v>
      </c>
      <c r="C375" s="1" t="s">
        <v>20</v>
      </c>
      <c r="D375" s="2">
        <v>42644</v>
      </c>
      <c r="E375" s="2">
        <v>42644</v>
      </c>
      <c r="F375" s="17">
        <v>700000</v>
      </c>
      <c r="G375" s="17">
        <v>19337.02</v>
      </c>
      <c r="H375" s="1"/>
      <c r="I375" s="1" t="s">
        <v>21</v>
      </c>
      <c r="J375" s="1" t="s">
        <v>18</v>
      </c>
      <c r="K375" s="1" t="s">
        <v>220</v>
      </c>
      <c r="L375" s="1" t="s">
        <v>218</v>
      </c>
      <c r="M375" s="1"/>
      <c r="N375" s="1" t="s">
        <v>75</v>
      </c>
      <c r="O375" s="31">
        <v>1</v>
      </c>
      <c r="P375" s="31">
        <v>1</v>
      </c>
      <c r="Q375" s="32">
        <v>2014</v>
      </c>
    </row>
    <row r="376" spans="1:17" x14ac:dyDescent="0.25">
      <c r="A376" s="1" t="s">
        <v>244</v>
      </c>
      <c r="B376" s="31">
        <v>55</v>
      </c>
      <c r="C376" s="1" t="s">
        <v>20</v>
      </c>
      <c r="D376" s="2">
        <v>42767</v>
      </c>
      <c r="E376" s="2">
        <v>42767</v>
      </c>
      <c r="F376" s="17">
        <v>1100000</v>
      </c>
      <c r="G376" s="17">
        <v>20000</v>
      </c>
      <c r="H376" s="1"/>
      <c r="I376" s="1" t="s">
        <v>21</v>
      </c>
      <c r="J376" s="1" t="s">
        <v>22</v>
      </c>
      <c r="K376" s="1" t="s">
        <v>220</v>
      </c>
      <c r="L376" s="1" t="s">
        <v>218</v>
      </c>
      <c r="M376" s="1"/>
      <c r="N376" s="1"/>
      <c r="O376" s="31">
        <v>2</v>
      </c>
      <c r="P376" s="31">
        <v>1</v>
      </c>
      <c r="Q376" s="32">
        <v>2017</v>
      </c>
    </row>
    <row r="377" spans="1:17" x14ac:dyDescent="0.25">
      <c r="A377" s="1" t="s">
        <v>228</v>
      </c>
      <c r="B377" s="31">
        <v>49.7</v>
      </c>
      <c r="C377" s="1" t="s">
        <v>20</v>
      </c>
      <c r="D377" s="2">
        <v>42644</v>
      </c>
      <c r="E377" s="2">
        <v>42644</v>
      </c>
      <c r="F377" s="17">
        <v>1000000</v>
      </c>
      <c r="G377" s="17">
        <v>20120.72</v>
      </c>
      <c r="H377" s="1"/>
      <c r="I377" s="1" t="s">
        <v>21</v>
      </c>
      <c r="J377" s="1" t="s">
        <v>22</v>
      </c>
      <c r="K377" s="1" t="s">
        <v>220</v>
      </c>
      <c r="L377" s="1" t="s">
        <v>218</v>
      </c>
      <c r="M377" s="1"/>
      <c r="N377" s="1" t="s">
        <v>225</v>
      </c>
      <c r="O377" s="31">
        <v>7</v>
      </c>
      <c r="P377" s="31">
        <v>1</v>
      </c>
      <c r="Q377" s="32">
        <v>2002</v>
      </c>
    </row>
    <row r="378" spans="1:17" x14ac:dyDescent="0.25">
      <c r="A378" s="1" t="s">
        <v>226</v>
      </c>
      <c r="B378" s="31">
        <v>64.599999999999994</v>
      </c>
      <c r="C378" s="1" t="s">
        <v>20</v>
      </c>
      <c r="D378" s="2">
        <v>42705</v>
      </c>
      <c r="E378" s="2">
        <v>42705</v>
      </c>
      <c r="F378" s="17">
        <v>1300000</v>
      </c>
      <c r="G378" s="17">
        <v>20123.84</v>
      </c>
      <c r="H378" s="1"/>
      <c r="I378" s="1" t="s">
        <v>21</v>
      </c>
      <c r="J378" s="1" t="s">
        <v>22</v>
      </c>
      <c r="K378" s="1" t="s">
        <v>220</v>
      </c>
      <c r="L378" s="1" t="s">
        <v>218</v>
      </c>
      <c r="M378" s="1"/>
      <c r="N378" s="1"/>
      <c r="O378" s="31">
        <v>1</v>
      </c>
      <c r="P378" s="31">
        <v>1</v>
      </c>
      <c r="Q378" s="32">
        <v>2005</v>
      </c>
    </row>
    <row r="379" spans="1:17" x14ac:dyDescent="0.25">
      <c r="A379" s="1" t="s">
        <v>230</v>
      </c>
      <c r="B379" s="31">
        <v>58.6</v>
      </c>
      <c r="C379" s="1" t="s">
        <v>20</v>
      </c>
      <c r="D379" s="2">
        <v>42767</v>
      </c>
      <c r="E379" s="2">
        <v>42767</v>
      </c>
      <c r="F379" s="17">
        <v>1180000</v>
      </c>
      <c r="G379" s="17">
        <v>20136.52</v>
      </c>
      <c r="H379" s="1"/>
      <c r="I379" s="1" t="s">
        <v>21</v>
      </c>
      <c r="J379" s="1" t="s">
        <v>22</v>
      </c>
      <c r="K379" s="1" t="s">
        <v>220</v>
      </c>
      <c r="L379" s="1" t="s">
        <v>218</v>
      </c>
      <c r="M379" s="1"/>
      <c r="N379" s="1" t="s">
        <v>239</v>
      </c>
      <c r="O379" s="31">
        <v>2</v>
      </c>
      <c r="P379" s="31">
        <v>1</v>
      </c>
      <c r="Q379" s="32">
        <v>2007</v>
      </c>
    </row>
    <row r="380" spans="1:17" x14ac:dyDescent="0.25">
      <c r="A380" s="1" t="s">
        <v>226</v>
      </c>
      <c r="B380" s="31">
        <v>36</v>
      </c>
      <c r="C380" s="1" t="s">
        <v>20</v>
      </c>
      <c r="D380" s="2">
        <v>42767</v>
      </c>
      <c r="E380" s="2">
        <v>42767</v>
      </c>
      <c r="F380" s="17">
        <v>739000</v>
      </c>
      <c r="G380" s="17">
        <v>20527.78</v>
      </c>
      <c r="H380" s="1"/>
      <c r="I380" s="1" t="s">
        <v>21</v>
      </c>
      <c r="J380" s="1" t="s">
        <v>22</v>
      </c>
      <c r="K380" s="1" t="s">
        <v>220</v>
      </c>
      <c r="L380" s="1" t="s">
        <v>218</v>
      </c>
      <c r="M380" s="1"/>
      <c r="N380" s="1"/>
      <c r="O380" s="31">
        <v>5</v>
      </c>
      <c r="P380" s="31">
        <v>1</v>
      </c>
      <c r="Q380" s="32">
        <v>2004</v>
      </c>
    </row>
    <row r="381" spans="1:17" x14ac:dyDescent="0.25">
      <c r="A381" s="1" t="s">
        <v>232</v>
      </c>
      <c r="B381" s="31">
        <v>45.3</v>
      </c>
      <c r="C381" s="1" t="s">
        <v>20</v>
      </c>
      <c r="D381" s="2">
        <v>42705</v>
      </c>
      <c r="E381" s="2">
        <v>42705</v>
      </c>
      <c r="F381" s="17">
        <v>930000</v>
      </c>
      <c r="G381" s="17">
        <v>20529.8</v>
      </c>
      <c r="H381" s="1"/>
      <c r="I381" s="1" t="s">
        <v>21</v>
      </c>
      <c r="J381" s="1" t="s">
        <v>22</v>
      </c>
      <c r="K381" s="1" t="s">
        <v>220</v>
      </c>
      <c r="L381" s="1" t="s">
        <v>218</v>
      </c>
      <c r="M381" s="1"/>
      <c r="N381" s="1"/>
      <c r="O381" s="31">
        <v>6</v>
      </c>
      <c r="P381" s="31">
        <v>1</v>
      </c>
      <c r="Q381" s="32">
        <v>2003</v>
      </c>
    </row>
    <row r="382" spans="1:17" x14ac:dyDescent="0.25">
      <c r="A382" s="1" t="s">
        <v>219</v>
      </c>
      <c r="B382" s="31">
        <v>36.5</v>
      </c>
      <c r="C382" s="1" t="s">
        <v>20</v>
      </c>
      <c r="D382" s="2">
        <v>42675</v>
      </c>
      <c r="E382" s="2">
        <v>42705</v>
      </c>
      <c r="F382" s="17">
        <v>750000</v>
      </c>
      <c r="G382" s="17">
        <v>20547.95</v>
      </c>
      <c r="H382" s="1"/>
      <c r="I382" s="1" t="s">
        <v>21</v>
      </c>
      <c r="J382" s="1" t="s">
        <v>18</v>
      </c>
      <c r="K382" s="1" t="s">
        <v>220</v>
      </c>
      <c r="L382" s="1" t="s">
        <v>218</v>
      </c>
      <c r="M382" s="1"/>
      <c r="N382" s="1" t="s">
        <v>235</v>
      </c>
      <c r="O382" s="31">
        <v>1</v>
      </c>
      <c r="P382" s="31">
        <v>2</v>
      </c>
      <c r="Q382" s="32">
        <v>2007</v>
      </c>
    </row>
    <row r="383" spans="1:17" x14ac:dyDescent="0.25">
      <c r="A383" s="1" t="s">
        <v>219</v>
      </c>
      <c r="B383" s="31">
        <v>36.5</v>
      </c>
      <c r="C383" s="1" t="s">
        <v>20</v>
      </c>
      <c r="D383" s="2">
        <v>42675</v>
      </c>
      <c r="E383" s="2">
        <v>42705</v>
      </c>
      <c r="F383" s="17">
        <v>750000</v>
      </c>
      <c r="G383" s="17">
        <v>20547.95</v>
      </c>
      <c r="H383" s="1"/>
      <c r="I383" s="1" t="s">
        <v>21</v>
      </c>
      <c r="J383" s="1" t="s">
        <v>18</v>
      </c>
      <c r="K383" s="1" t="s">
        <v>220</v>
      </c>
      <c r="L383" s="1" t="s">
        <v>218</v>
      </c>
      <c r="M383" s="1"/>
      <c r="N383" s="1" t="s">
        <v>235</v>
      </c>
      <c r="O383" s="31">
        <v>1</v>
      </c>
      <c r="P383" s="31">
        <v>2</v>
      </c>
      <c r="Q383" s="32">
        <v>2007</v>
      </c>
    </row>
    <row r="384" spans="1:17" x14ac:dyDescent="0.25">
      <c r="A384" s="1" t="s">
        <v>222</v>
      </c>
      <c r="B384" s="31">
        <v>49.3</v>
      </c>
      <c r="C384" s="1" t="s">
        <v>20</v>
      </c>
      <c r="D384" s="2">
        <v>42675</v>
      </c>
      <c r="E384" s="2">
        <v>42675</v>
      </c>
      <c r="F384" s="17">
        <v>1040000</v>
      </c>
      <c r="G384" s="17">
        <v>21095.33</v>
      </c>
      <c r="H384" s="1"/>
      <c r="I384" s="1" t="s">
        <v>21</v>
      </c>
      <c r="J384" s="1" t="s">
        <v>22</v>
      </c>
      <c r="K384" s="1" t="s">
        <v>220</v>
      </c>
      <c r="L384" s="1" t="s">
        <v>218</v>
      </c>
      <c r="M384" s="1"/>
      <c r="N384" s="1" t="s">
        <v>223</v>
      </c>
      <c r="O384" s="31">
        <v>5</v>
      </c>
      <c r="P384" s="31">
        <v>1</v>
      </c>
      <c r="Q384" s="32">
        <v>2005</v>
      </c>
    </row>
    <row r="385" spans="1:17" x14ac:dyDescent="0.25">
      <c r="A385" s="1" t="s">
        <v>226</v>
      </c>
      <c r="B385" s="31">
        <v>45.2</v>
      </c>
      <c r="C385" s="1" t="s">
        <v>20</v>
      </c>
      <c r="D385" s="2">
        <v>42705</v>
      </c>
      <c r="E385" s="2">
        <v>42705</v>
      </c>
      <c r="F385" s="17">
        <v>970000</v>
      </c>
      <c r="G385" s="17">
        <v>21460.18</v>
      </c>
      <c r="H385" s="1"/>
      <c r="I385" s="1" t="s">
        <v>21</v>
      </c>
      <c r="J385" s="1" t="s">
        <v>32</v>
      </c>
      <c r="K385" s="1" t="s">
        <v>220</v>
      </c>
      <c r="L385" s="1" t="s">
        <v>218</v>
      </c>
      <c r="M385" s="1"/>
      <c r="N385" s="1" t="s">
        <v>245</v>
      </c>
      <c r="O385" s="31">
        <v>5</v>
      </c>
      <c r="P385" s="31">
        <v>1</v>
      </c>
      <c r="Q385" s="32">
        <v>2015</v>
      </c>
    </row>
    <row r="386" spans="1:17" x14ac:dyDescent="0.25">
      <c r="A386" s="1" t="s">
        <v>232</v>
      </c>
      <c r="B386" s="31">
        <v>67.5</v>
      </c>
      <c r="C386" s="1" t="s">
        <v>20</v>
      </c>
      <c r="D386" s="2">
        <v>42767</v>
      </c>
      <c r="E386" s="2">
        <v>42795</v>
      </c>
      <c r="F386" s="17">
        <v>1450000</v>
      </c>
      <c r="G386" s="17">
        <v>21481.48</v>
      </c>
      <c r="H386" s="1"/>
      <c r="I386" s="1" t="s">
        <v>21</v>
      </c>
      <c r="J386" s="1" t="s">
        <v>32</v>
      </c>
      <c r="K386" s="1" t="s">
        <v>220</v>
      </c>
      <c r="L386" s="1" t="s">
        <v>218</v>
      </c>
      <c r="M386" s="1"/>
      <c r="N386" s="1"/>
      <c r="O386" s="31">
        <v>6</v>
      </c>
      <c r="P386" s="31">
        <v>2</v>
      </c>
      <c r="Q386" s="32">
        <v>2000</v>
      </c>
    </row>
    <row r="387" spans="1:17" x14ac:dyDescent="0.25">
      <c r="A387" s="1" t="s">
        <v>232</v>
      </c>
      <c r="B387" s="31">
        <v>67.5</v>
      </c>
      <c r="C387" s="1" t="s">
        <v>20</v>
      </c>
      <c r="D387" s="2">
        <v>42767</v>
      </c>
      <c r="E387" s="2">
        <v>42795</v>
      </c>
      <c r="F387" s="17">
        <v>1450000</v>
      </c>
      <c r="G387" s="17">
        <v>21481.48</v>
      </c>
      <c r="H387" s="1"/>
      <c r="I387" s="1" t="s">
        <v>21</v>
      </c>
      <c r="J387" s="1" t="s">
        <v>32</v>
      </c>
      <c r="K387" s="1" t="s">
        <v>220</v>
      </c>
      <c r="L387" s="1" t="s">
        <v>218</v>
      </c>
      <c r="M387" s="1"/>
      <c r="N387" s="1"/>
      <c r="O387" s="31">
        <v>6</v>
      </c>
      <c r="P387" s="31">
        <v>2</v>
      </c>
      <c r="Q387" s="32">
        <v>2000</v>
      </c>
    </row>
    <row r="388" spans="1:17" x14ac:dyDescent="0.25">
      <c r="A388" s="1" t="s">
        <v>233</v>
      </c>
      <c r="B388" s="31">
        <v>57.7</v>
      </c>
      <c r="C388" s="1" t="s">
        <v>20</v>
      </c>
      <c r="D388" s="2">
        <v>42675</v>
      </c>
      <c r="E388" s="2">
        <v>42705</v>
      </c>
      <c r="F388" s="17">
        <v>1275000</v>
      </c>
      <c r="G388" s="17">
        <v>22097.05</v>
      </c>
      <c r="H388" s="1"/>
      <c r="I388" s="1" t="s">
        <v>21</v>
      </c>
      <c r="J388" s="1" t="s">
        <v>32</v>
      </c>
      <c r="K388" s="1" t="s">
        <v>220</v>
      </c>
      <c r="L388" s="1" t="s">
        <v>218</v>
      </c>
      <c r="M388" s="1"/>
      <c r="N388" s="1"/>
      <c r="O388" s="31">
        <v>4</v>
      </c>
      <c r="P388" s="31">
        <v>2</v>
      </c>
      <c r="Q388" s="32">
        <v>2000</v>
      </c>
    </row>
    <row r="389" spans="1:17" x14ac:dyDescent="0.25">
      <c r="A389" s="1" t="s">
        <v>233</v>
      </c>
      <c r="B389" s="31">
        <v>57.7</v>
      </c>
      <c r="C389" s="1" t="s">
        <v>20</v>
      </c>
      <c r="D389" s="2">
        <v>42675</v>
      </c>
      <c r="E389" s="2">
        <v>42705</v>
      </c>
      <c r="F389" s="17">
        <v>1275000</v>
      </c>
      <c r="G389" s="17">
        <v>22097.05</v>
      </c>
      <c r="H389" s="1"/>
      <c r="I389" s="1" t="s">
        <v>21</v>
      </c>
      <c r="J389" s="1" t="s">
        <v>32</v>
      </c>
      <c r="K389" s="1" t="s">
        <v>220</v>
      </c>
      <c r="L389" s="1" t="s">
        <v>218</v>
      </c>
      <c r="M389" s="1"/>
      <c r="N389" s="1"/>
      <c r="O389" s="31">
        <v>4</v>
      </c>
      <c r="P389" s="31">
        <v>2</v>
      </c>
      <c r="Q389" s="32">
        <v>2000</v>
      </c>
    </row>
    <row r="390" spans="1:17" x14ac:dyDescent="0.25">
      <c r="A390" s="1" t="s">
        <v>246</v>
      </c>
      <c r="B390" s="31">
        <v>55.2</v>
      </c>
      <c r="C390" s="1" t="s">
        <v>20</v>
      </c>
      <c r="D390" s="2">
        <v>42736</v>
      </c>
      <c r="E390" s="2">
        <v>42736</v>
      </c>
      <c r="F390" s="17">
        <v>1224000</v>
      </c>
      <c r="G390" s="17">
        <v>22173.91</v>
      </c>
      <c r="H390" s="1"/>
      <c r="I390" s="1" t="s">
        <v>21</v>
      </c>
      <c r="J390" s="1" t="s">
        <v>22</v>
      </c>
      <c r="K390" s="1" t="s">
        <v>220</v>
      </c>
      <c r="L390" s="1" t="s">
        <v>218</v>
      </c>
      <c r="M390" s="1"/>
      <c r="N390" s="1" t="s">
        <v>225</v>
      </c>
      <c r="O390" s="31">
        <v>4</v>
      </c>
      <c r="P390" s="31">
        <v>1</v>
      </c>
      <c r="Q390" s="32">
        <v>2006</v>
      </c>
    </row>
    <row r="391" spans="1:17" x14ac:dyDescent="0.25">
      <c r="A391" s="1" t="s">
        <v>226</v>
      </c>
      <c r="B391" s="31">
        <v>46.7</v>
      </c>
      <c r="C391" s="1" t="s">
        <v>20</v>
      </c>
      <c r="D391" s="2">
        <v>42705</v>
      </c>
      <c r="E391" s="2">
        <v>42705</v>
      </c>
      <c r="F391" s="17">
        <v>1040000</v>
      </c>
      <c r="G391" s="17">
        <v>22269.81</v>
      </c>
      <c r="H391" s="1"/>
      <c r="I391" s="1" t="s">
        <v>21</v>
      </c>
      <c r="J391" s="1" t="s">
        <v>18</v>
      </c>
      <c r="K391" s="1" t="s">
        <v>220</v>
      </c>
      <c r="L391" s="1" t="s">
        <v>218</v>
      </c>
      <c r="M391" s="1"/>
      <c r="N391" s="1"/>
      <c r="O391" s="31">
        <v>9</v>
      </c>
      <c r="P391" s="31">
        <v>1</v>
      </c>
      <c r="Q391" s="32">
        <v>2001</v>
      </c>
    </row>
    <row r="392" spans="1:17" x14ac:dyDescent="0.25">
      <c r="A392" s="1" t="s">
        <v>228</v>
      </c>
      <c r="B392" s="31">
        <v>28.9</v>
      </c>
      <c r="C392" s="1" t="s">
        <v>20</v>
      </c>
      <c r="D392" s="2">
        <v>42795</v>
      </c>
      <c r="E392" s="2">
        <v>42795</v>
      </c>
      <c r="F392" s="17">
        <v>650000</v>
      </c>
      <c r="G392" s="17">
        <v>22491.35</v>
      </c>
      <c r="H392" s="1"/>
      <c r="I392" s="1" t="s">
        <v>21</v>
      </c>
      <c r="J392" s="1" t="s">
        <v>22</v>
      </c>
      <c r="K392" s="1" t="s">
        <v>220</v>
      </c>
      <c r="L392" s="1" t="s">
        <v>218</v>
      </c>
      <c r="M392" s="1"/>
      <c r="N392" s="1" t="s">
        <v>247</v>
      </c>
      <c r="O392" s="31">
        <v>3</v>
      </c>
      <c r="P392" s="31">
        <v>1</v>
      </c>
      <c r="Q392" s="32">
        <v>2012</v>
      </c>
    </row>
    <row r="393" spans="1:17" x14ac:dyDescent="0.25">
      <c r="A393" s="1" t="s">
        <v>229</v>
      </c>
      <c r="B393" s="31">
        <v>44.1</v>
      </c>
      <c r="C393" s="1" t="s">
        <v>20</v>
      </c>
      <c r="D393" s="2">
        <v>42736</v>
      </c>
      <c r="E393" s="2">
        <v>42736</v>
      </c>
      <c r="F393" s="17">
        <v>1000000</v>
      </c>
      <c r="G393" s="17">
        <v>22675.74</v>
      </c>
      <c r="H393" s="1"/>
      <c r="I393" s="1" t="s">
        <v>21</v>
      </c>
      <c r="J393" s="1" t="s">
        <v>22</v>
      </c>
      <c r="K393" s="1" t="s">
        <v>220</v>
      </c>
      <c r="L393" s="1" t="s">
        <v>218</v>
      </c>
      <c r="M393" s="1"/>
      <c r="N393" s="1" t="s">
        <v>75</v>
      </c>
      <c r="O393" s="31">
        <v>2</v>
      </c>
      <c r="P393" s="31">
        <v>1</v>
      </c>
      <c r="Q393" s="32">
        <v>2001</v>
      </c>
    </row>
    <row r="394" spans="1:17" x14ac:dyDescent="0.25">
      <c r="A394" s="1" t="s">
        <v>233</v>
      </c>
      <c r="B394" s="31">
        <v>35.200000000000003</v>
      </c>
      <c r="C394" s="1" t="s">
        <v>20</v>
      </c>
      <c r="D394" s="2">
        <v>42795</v>
      </c>
      <c r="E394" s="2">
        <v>42795</v>
      </c>
      <c r="F394" s="17">
        <v>800000</v>
      </c>
      <c r="G394" s="17">
        <v>22727.27</v>
      </c>
      <c r="H394" s="1"/>
      <c r="I394" s="1" t="s">
        <v>21</v>
      </c>
      <c r="J394" s="1" t="s">
        <v>22</v>
      </c>
      <c r="K394" s="1" t="s">
        <v>220</v>
      </c>
      <c r="L394" s="1" t="s">
        <v>218</v>
      </c>
      <c r="M394" s="1"/>
      <c r="N394" s="1" t="s">
        <v>145</v>
      </c>
      <c r="O394" s="31">
        <v>4</v>
      </c>
      <c r="P394" s="31">
        <v>1</v>
      </c>
      <c r="Q394" s="32">
        <v>2005</v>
      </c>
    </row>
    <row r="395" spans="1:17" x14ac:dyDescent="0.25">
      <c r="A395" s="1" t="s">
        <v>226</v>
      </c>
      <c r="B395" s="31">
        <v>65</v>
      </c>
      <c r="C395" s="1" t="s">
        <v>20</v>
      </c>
      <c r="D395" s="2">
        <v>42705</v>
      </c>
      <c r="E395" s="2">
        <v>42705</v>
      </c>
      <c r="F395" s="17">
        <v>1487000</v>
      </c>
      <c r="G395" s="17">
        <v>22876.92</v>
      </c>
      <c r="H395" s="1"/>
      <c r="I395" s="1" t="s">
        <v>21</v>
      </c>
      <c r="J395" s="1" t="s">
        <v>22</v>
      </c>
      <c r="K395" s="1" t="s">
        <v>220</v>
      </c>
      <c r="L395" s="1" t="s">
        <v>218</v>
      </c>
      <c r="M395" s="1"/>
      <c r="N395" s="1"/>
      <c r="O395" s="31">
        <v>1</v>
      </c>
      <c r="P395" s="31">
        <v>1</v>
      </c>
      <c r="Q395" s="32">
        <v>2001</v>
      </c>
    </row>
    <row r="396" spans="1:17" x14ac:dyDescent="0.25">
      <c r="A396" s="1" t="s">
        <v>249</v>
      </c>
      <c r="B396" s="31">
        <v>53.1</v>
      </c>
      <c r="C396" s="1" t="s">
        <v>20</v>
      </c>
      <c r="D396" s="2">
        <v>42767</v>
      </c>
      <c r="E396" s="2">
        <v>42795</v>
      </c>
      <c r="F396" s="17">
        <v>1232000</v>
      </c>
      <c r="G396" s="17">
        <v>23201.51</v>
      </c>
      <c r="H396" s="1"/>
      <c r="I396" s="1" t="s">
        <v>21</v>
      </c>
      <c r="J396" s="1" t="s">
        <v>22</v>
      </c>
      <c r="K396" s="1" t="s">
        <v>220</v>
      </c>
      <c r="L396" s="1" t="s">
        <v>218</v>
      </c>
      <c r="M396" s="1"/>
      <c r="N396" s="1" t="s">
        <v>250</v>
      </c>
      <c r="O396" s="31">
        <v>2</v>
      </c>
      <c r="P396" s="31">
        <v>1</v>
      </c>
      <c r="Q396" s="32">
        <v>2005</v>
      </c>
    </row>
    <row r="397" spans="1:17" x14ac:dyDescent="0.25">
      <c r="A397" s="1" t="s">
        <v>226</v>
      </c>
      <c r="B397" s="31">
        <v>47.2</v>
      </c>
      <c r="C397" s="1" t="s">
        <v>20</v>
      </c>
      <c r="D397" s="2">
        <v>42675</v>
      </c>
      <c r="E397" s="2">
        <v>42675</v>
      </c>
      <c r="F397" s="17">
        <v>1100000</v>
      </c>
      <c r="G397" s="17">
        <v>23305.08</v>
      </c>
      <c r="H397" s="1"/>
      <c r="I397" s="1" t="s">
        <v>21</v>
      </c>
      <c r="J397" s="1" t="s">
        <v>18</v>
      </c>
      <c r="K397" s="1" t="s">
        <v>220</v>
      </c>
      <c r="L397" s="1" t="s">
        <v>218</v>
      </c>
      <c r="M397" s="1"/>
      <c r="N397" s="1"/>
      <c r="O397" s="31">
        <v>4</v>
      </c>
      <c r="P397" s="31">
        <v>1</v>
      </c>
      <c r="Q397" s="32">
        <v>2008</v>
      </c>
    </row>
    <row r="398" spans="1:17" x14ac:dyDescent="0.25">
      <c r="A398" s="1" t="s">
        <v>227</v>
      </c>
      <c r="B398" s="31">
        <v>25.2</v>
      </c>
      <c r="C398" s="1" t="s">
        <v>20</v>
      </c>
      <c r="D398" s="2">
        <v>42675</v>
      </c>
      <c r="E398" s="2">
        <v>42675</v>
      </c>
      <c r="F398" s="17">
        <v>592000</v>
      </c>
      <c r="G398" s="17">
        <v>23492.06</v>
      </c>
      <c r="H398" s="1"/>
      <c r="I398" s="1" t="s">
        <v>21</v>
      </c>
      <c r="J398" s="1" t="s">
        <v>18</v>
      </c>
      <c r="K398" s="1" t="s">
        <v>220</v>
      </c>
      <c r="L398" s="1" t="s">
        <v>218</v>
      </c>
      <c r="M398" s="1"/>
      <c r="N398" s="1" t="s">
        <v>75</v>
      </c>
      <c r="O398" s="31">
        <v>2</v>
      </c>
      <c r="P398" s="31">
        <v>1</v>
      </c>
      <c r="Q398" s="32">
        <v>2005</v>
      </c>
    </row>
    <row r="399" spans="1:17" x14ac:dyDescent="0.25">
      <c r="A399" s="1" t="s">
        <v>244</v>
      </c>
      <c r="B399" s="31">
        <v>55.1</v>
      </c>
      <c r="C399" s="1" t="s">
        <v>20</v>
      </c>
      <c r="D399" s="2">
        <v>42705</v>
      </c>
      <c r="E399" s="2">
        <v>42705</v>
      </c>
      <c r="F399" s="17">
        <v>1300000</v>
      </c>
      <c r="G399" s="17">
        <v>23593.47</v>
      </c>
      <c r="H399" s="1"/>
      <c r="I399" s="1" t="s">
        <v>21</v>
      </c>
      <c r="J399" s="1" t="s">
        <v>22</v>
      </c>
      <c r="K399" s="1" t="s">
        <v>220</v>
      </c>
      <c r="L399" s="1" t="s">
        <v>218</v>
      </c>
      <c r="M399" s="1"/>
      <c r="N399" s="1"/>
      <c r="O399" s="31">
        <v>3</v>
      </c>
      <c r="P399" s="31">
        <v>1</v>
      </c>
      <c r="Q399" s="32">
        <v>2016</v>
      </c>
    </row>
    <row r="400" spans="1:17" x14ac:dyDescent="0.25">
      <c r="A400" s="1" t="s">
        <v>236</v>
      </c>
      <c r="B400" s="31">
        <v>50.3</v>
      </c>
      <c r="C400" s="1" t="s">
        <v>20</v>
      </c>
      <c r="D400" s="2">
        <v>42705</v>
      </c>
      <c r="E400" s="2">
        <v>42705</v>
      </c>
      <c r="F400" s="17">
        <v>1200000</v>
      </c>
      <c r="G400" s="17">
        <v>23856.86</v>
      </c>
      <c r="H400" s="1"/>
      <c r="I400" s="1" t="s">
        <v>21</v>
      </c>
      <c r="J400" s="1" t="s">
        <v>18</v>
      </c>
      <c r="K400" s="1" t="s">
        <v>220</v>
      </c>
      <c r="L400" s="1" t="s">
        <v>218</v>
      </c>
      <c r="M400" s="1"/>
      <c r="N400" s="1" t="s">
        <v>191</v>
      </c>
      <c r="O400" s="31">
        <v>3</v>
      </c>
      <c r="P400" s="31">
        <v>2</v>
      </c>
      <c r="Q400" s="32">
        <v>2016</v>
      </c>
    </row>
    <row r="401" spans="1:17" x14ac:dyDescent="0.25">
      <c r="A401" s="1" t="s">
        <v>236</v>
      </c>
      <c r="B401" s="31">
        <v>50.3</v>
      </c>
      <c r="C401" s="1" t="s">
        <v>20</v>
      </c>
      <c r="D401" s="2">
        <v>42705</v>
      </c>
      <c r="E401" s="2">
        <v>42705</v>
      </c>
      <c r="F401" s="17">
        <v>1200000</v>
      </c>
      <c r="G401" s="17">
        <v>23856.86</v>
      </c>
      <c r="H401" s="1"/>
      <c r="I401" s="1" t="s">
        <v>21</v>
      </c>
      <c r="J401" s="1" t="s">
        <v>18</v>
      </c>
      <c r="K401" s="1" t="s">
        <v>220</v>
      </c>
      <c r="L401" s="1" t="s">
        <v>218</v>
      </c>
      <c r="M401" s="1"/>
      <c r="N401" s="1" t="s">
        <v>191</v>
      </c>
      <c r="O401" s="31">
        <v>3</v>
      </c>
      <c r="P401" s="31">
        <v>2</v>
      </c>
      <c r="Q401" s="32">
        <v>2016</v>
      </c>
    </row>
    <row r="402" spans="1:17" x14ac:dyDescent="0.25">
      <c r="A402" s="1" t="s">
        <v>222</v>
      </c>
      <c r="B402" s="31">
        <v>32.299999999999997</v>
      </c>
      <c r="C402" s="1" t="s">
        <v>20</v>
      </c>
      <c r="D402" s="2">
        <v>42705</v>
      </c>
      <c r="E402" s="2">
        <v>42705</v>
      </c>
      <c r="F402" s="17">
        <v>774000</v>
      </c>
      <c r="G402" s="17">
        <v>23962.85</v>
      </c>
      <c r="H402" s="1"/>
      <c r="I402" s="1" t="s">
        <v>21</v>
      </c>
      <c r="J402" s="1" t="s">
        <v>22</v>
      </c>
      <c r="K402" s="1" t="s">
        <v>220</v>
      </c>
      <c r="L402" s="1" t="s">
        <v>218</v>
      </c>
      <c r="M402" s="1"/>
      <c r="N402" s="1" t="s">
        <v>223</v>
      </c>
      <c r="O402" s="31">
        <v>1</v>
      </c>
      <c r="P402" s="31">
        <v>1</v>
      </c>
      <c r="Q402" s="32">
        <v>2009</v>
      </c>
    </row>
    <row r="403" spans="1:17" x14ac:dyDescent="0.25">
      <c r="A403" s="1" t="s">
        <v>226</v>
      </c>
      <c r="B403" s="31">
        <v>35</v>
      </c>
      <c r="C403" s="1" t="s">
        <v>20</v>
      </c>
      <c r="D403" s="2">
        <v>42736</v>
      </c>
      <c r="E403" s="2">
        <v>42736</v>
      </c>
      <c r="F403" s="17">
        <v>840000</v>
      </c>
      <c r="G403" s="17">
        <v>24000</v>
      </c>
      <c r="H403" s="1"/>
      <c r="I403" s="1" t="s">
        <v>21</v>
      </c>
      <c r="J403" s="1" t="s">
        <v>22</v>
      </c>
      <c r="K403" s="1" t="s">
        <v>220</v>
      </c>
      <c r="L403" s="1" t="s">
        <v>218</v>
      </c>
      <c r="M403" s="1"/>
      <c r="N403" s="1"/>
      <c r="O403" s="31">
        <v>4</v>
      </c>
      <c r="P403" s="31">
        <v>1</v>
      </c>
      <c r="Q403" s="32">
        <v>2003</v>
      </c>
    </row>
    <row r="404" spans="1:17" x14ac:dyDescent="0.25">
      <c r="A404" s="1" t="s">
        <v>219</v>
      </c>
      <c r="B404" s="31">
        <v>60</v>
      </c>
      <c r="C404" s="1" t="s">
        <v>20</v>
      </c>
      <c r="D404" s="2">
        <v>42795</v>
      </c>
      <c r="E404" s="2">
        <v>42795</v>
      </c>
      <c r="F404" s="17">
        <v>1450000</v>
      </c>
      <c r="G404" s="17">
        <v>24166.67</v>
      </c>
      <c r="H404" s="1"/>
      <c r="I404" s="1" t="s">
        <v>21</v>
      </c>
      <c r="J404" s="1" t="s">
        <v>22</v>
      </c>
      <c r="K404" s="1" t="s">
        <v>220</v>
      </c>
      <c r="L404" s="1" t="s">
        <v>218</v>
      </c>
      <c r="M404" s="1"/>
      <c r="N404" s="1" t="s">
        <v>221</v>
      </c>
      <c r="O404" s="31">
        <v>5</v>
      </c>
      <c r="P404" s="31">
        <v>1</v>
      </c>
      <c r="Q404" s="32">
        <v>2004</v>
      </c>
    </row>
    <row r="405" spans="1:17" x14ac:dyDescent="0.25">
      <c r="A405" s="1" t="s">
        <v>232</v>
      </c>
      <c r="B405" s="31">
        <v>49.9</v>
      </c>
      <c r="C405" s="1" t="s">
        <v>20</v>
      </c>
      <c r="D405" s="2">
        <v>42705</v>
      </c>
      <c r="E405" s="2">
        <v>42705</v>
      </c>
      <c r="F405" s="17">
        <v>1220000</v>
      </c>
      <c r="G405" s="17">
        <v>24448.9</v>
      </c>
      <c r="H405" s="1"/>
      <c r="I405" s="1" t="s">
        <v>21</v>
      </c>
      <c r="J405" s="1" t="s">
        <v>22</v>
      </c>
      <c r="K405" s="1" t="s">
        <v>220</v>
      </c>
      <c r="L405" s="1" t="s">
        <v>218</v>
      </c>
      <c r="M405" s="1"/>
      <c r="N405" s="1" t="s">
        <v>75</v>
      </c>
      <c r="O405" s="31">
        <v>7</v>
      </c>
      <c r="P405" s="31">
        <v>2</v>
      </c>
      <c r="Q405" s="32">
        <v>2008</v>
      </c>
    </row>
    <row r="406" spans="1:17" x14ac:dyDescent="0.25">
      <c r="A406" s="1" t="s">
        <v>232</v>
      </c>
      <c r="B406" s="31">
        <v>49.9</v>
      </c>
      <c r="C406" s="1" t="s">
        <v>20</v>
      </c>
      <c r="D406" s="2">
        <v>42705</v>
      </c>
      <c r="E406" s="2">
        <v>42705</v>
      </c>
      <c r="F406" s="17">
        <v>1220000</v>
      </c>
      <c r="G406" s="17">
        <v>24448.9</v>
      </c>
      <c r="H406" s="1"/>
      <c r="I406" s="1" t="s">
        <v>21</v>
      </c>
      <c r="J406" s="1" t="s">
        <v>22</v>
      </c>
      <c r="K406" s="1" t="s">
        <v>220</v>
      </c>
      <c r="L406" s="1" t="s">
        <v>218</v>
      </c>
      <c r="M406" s="1"/>
      <c r="N406" s="1" t="s">
        <v>75</v>
      </c>
      <c r="O406" s="31">
        <v>7</v>
      </c>
      <c r="P406" s="31">
        <v>2</v>
      </c>
      <c r="Q406" s="32">
        <v>2008</v>
      </c>
    </row>
    <row r="407" spans="1:17" x14ac:dyDescent="0.25">
      <c r="A407" s="1" t="s">
        <v>226</v>
      </c>
      <c r="B407" s="31">
        <v>64.599999999999994</v>
      </c>
      <c r="C407" s="1" t="s">
        <v>20</v>
      </c>
      <c r="D407" s="2">
        <v>42736</v>
      </c>
      <c r="E407" s="2">
        <v>42736</v>
      </c>
      <c r="F407" s="17">
        <v>1580000</v>
      </c>
      <c r="G407" s="17">
        <v>24458.2</v>
      </c>
      <c r="H407" s="1"/>
      <c r="I407" s="1" t="s">
        <v>21</v>
      </c>
      <c r="J407" s="1" t="s">
        <v>22</v>
      </c>
      <c r="K407" s="1" t="s">
        <v>220</v>
      </c>
      <c r="L407" s="1" t="s">
        <v>218</v>
      </c>
      <c r="M407" s="1"/>
      <c r="N407" s="1"/>
      <c r="O407" s="31">
        <v>5</v>
      </c>
      <c r="P407" s="31">
        <v>2</v>
      </c>
      <c r="Q407" s="32">
        <v>2005</v>
      </c>
    </row>
    <row r="408" spans="1:17" x14ac:dyDescent="0.25">
      <c r="A408" s="1" t="s">
        <v>226</v>
      </c>
      <c r="B408" s="31">
        <v>64.599999999999994</v>
      </c>
      <c r="C408" s="1" t="s">
        <v>20</v>
      </c>
      <c r="D408" s="2">
        <v>42736</v>
      </c>
      <c r="E408" s="2">
        <v>42736</v>
      </c>
      <c r="F408" s="17">
        <v>1580000</v>
      </c>
      <c r="G408" s="17">
        <v>24458.2</v>
      </c>
      <c r="H408" s="1"/>
      <c r="I408" s="1" t="s">
        <v>21</v>
      </c>
      <c r="J408" s="1" t="s">
        <v>22</v>
      </c>
      <c r="K408" s="1" t="s">
        <v>220</v>
      </c>
      <c r="L408" s="1" t="s">
        <v>218</v>
      </c>
      <c r="M408" s="1"/>
      <c r="N408" s="1"/>
      <c r="O408" s="31">
        <v>5</v>
      </c>
      <c r="P408" s="31">
        <v>2</v>
      </c>
      <c r="Q408" s="32">
        <v>2005</v>
      </c>
    </row>
    <row r="409" spans="1:17" x14ac:dyDescent="0.25">
      <c r="A409" s="1" t="s">
        <v>226</v>
      </c>
      <c r="B409" s="31">
        <v>17.600000000000001</v>
      </c>
      <c r="C409" s="1" t="s">
        <v>20</v>
      </c>
      <c r="D409" s="2">
        <v>42675</v>
      </c>
      <c r="E409" s="2">
        <v>42705</v>
      </c>
      <c r="F409" s="17">
        <v>433026</v>
      </c>
      <c r="G409" s="17">
        <v>24603.75</v>
      </c>
      <c r="H409" s="1"/>
      <c r="I409" s="1" t="s">
        <v>21</v>
      </c>
      <c r="J409" s="1" t="s">
        <v>18</v>
      </c>
      <c r="K409" s="1" t="s">
        <v>220</v>
      </c>
      <c r="L409" s="1" t="s">
        <v>218</v>
      </c>
      <c r="M409" s="1"/>
      <c r="N409" s="1"/>
      <c r="O409" s="31">
        <v>2</v>
      </c>
      <c r="P409" s="31">
        <v>1</v>
      </c>
      <c r="Q409" s="32">
        <v>2011</v>
      </c>
    </row>
    <row r="410" spans="1:17" x14ac:dyDescent="0.25">
      <c r="A410" s="1" t="s">
        <v>229</v>
      </c>
      <c r="B410" s="31">
        <v>41.1</v>
      </c>
      <c r="C410" s="1" t="s">
        <v>20</v>
      </c>
      <c r="D410" s="2">
        <v>42705</v>
      </c>
      <c r="E410" s="2">
        <v>42705</v>
      </c>
      <c r="F410" s="17">
        <v>1012000</v>
      </c>
      <c r="G410" s="17">
        <v>24622.87</v>
      </c>
      <c r="H410" s="1"/>
      <c r="I410" s="1" t="s">
        <v>21</v>
      </c>
      <c r="J410" s="1" t="s">
        <v>22</v>
      </c>
      <c r="K410" s="1" t="s">
        <v>220</v>
      </c>
      <c r="L410" s="1" t="s">
        <v>218</v>
      </c>
      <c r="M410" s="1"/>
      <c r="N410" s="1"/>
      <c r="O410" s="31">
        <v>4</v>
      </c>
      <c r="P410" s="31">
        <v>1</v>
      </c>
      <c r="Q410" s="32">
        <v>2006</v>
      </c>
    </row>
    <row r="411" spans="1:17" x14ac:dyDescent="0.25">
      <c r="A411" s="1" t="s">
        <v>222</v>
      </c>
      <c r="B411" s="31">
        <v>56.5</v>
      </c>
      <c r="C411" s="1" t="s">
        <v>20</v>
      </c>
      <c r="D411" s="2">
        <v>42705</v>
      </c>
      <c r="E411" s="2">
        <v>42705</v>
      </c>
      <c r="F411" s="17">
        <v>1400000</v>
      </c>
      <c r="G411" s="17">
        <v>24778.76</v>
      </c>
      <c r="H411" s="1"/>
      <c r="I411" s="1" t="s">
        <v>21</v>
      </c>
      <c r="J411" s="1" t="s">
        <v>32</v>
      </c>
      <c r="K411" s="1" t="s">
        <v>220</v>
      </c>
      <c r="L411" s="1" t="s">
        <v>218</v>
      </c>
      <c r="M411" s="1"/>
      <c r="N411" s="1" t="s">
        <v>237</v>
      </c>
      <c r="O411" s="31">
        <v>1</v>
      </c>
      <c r="P411" s="31">
        <v>1</v>
      </c>
      <c r="Q411" s="32">
        <v>2003</v>
      </c>
    </row>
    <row r="412" spans="1:17" x14ac:dyDescent="0.25">
      <c r="A412" s="1" t="s">
        <v>226</v>
      </c>
      <c r="B412" s="31">
        <v>50.8</v>
      </c>
      <c r="C412" s="1" t="s">
        <v>20</v>
      </c>
      <c r="D412" s="2">
        <v>42767</v>
      </c>
      <c r="E412" s="2">
        <v>42795</v>
      </c>
      <c r="F412" s="17">
        <v>1264000</v>
      </c>
      <c r="G412" s="17">
        <v>24881.89</v>
      </c>
      <c r="H412" s="1"/>
      <c r="I412" s="1" t="s">
        <v>21</v>
      </c>
      <c r="J412" s="1" t="s">
        <v>22</v>
      </c>
      <c r="K412" s="1" t="s">
        <v>220</v>
      </c>
      <c r="L412" s="1" t="s">
        <v>218</v>
      </c>
      <c r="M412" s="1"/>
      <c r="N412" s="1"/>
      <c r="O412" s="31">
        <v>3</v>
      </c>
      <c r="P412" s="31">
        <v>2</v>
      </c>
      <c r="Q412" s="32">
        <v>2004</v>
      </c>
    </row>
    <row r="413" spans="1:17" x14ac:dyDescent="0.25">
      <c r="A413" s="1" t="s">
        <v>226</v>
      </c>
      <c r="B413" s="31">
        <v>50.8</v>
      </c>
      <c r="C413" s="1" t="s">
        <v>20</v>
      </c>
      <c r="D413" s="2">
        <v>42767</v>
      </c>
      <c r="E413" s="2">
        <v>42795</v>
      </c>
      <c r="F413" s="17">
        <v>1264000</v>
      </c>
      <c r="G413" s="17">
        <v>24881.89</v>
      </c>
      <c r="H413" s="1"/>
      <c r="I413" s="1" t="s">
        <v>21</v>
      </c>
      <c r="J413" s="1" t="s">
        <v>22</v>
      </c>
      <c r="K413" s="1" t="s">
        <v>220</v>
      </c>
      <c r="L413" s="1" t="s">
        <v>218</v>
      </c>
      <c r="M413" s="1"/>
      <c r="N413" s="1"/>
      <c r="O413" s="31">
        <v>3</v>
      </c>
      <c r="P413" s="31">
        <v>2</v>
      </c>
      <c r="Q413" s="32">
        <v>2004</v>
      </c>
    </row>
    <row r="414" spans="1:17" x14ac:dyDescent="0.25">
      <c r="A414" s="1" t="s">
        <v>244</v>
      </c>
      <c r="B414" s="31">
        <v>42.4</v>
      </c>
      <c r="C414" s="1" t="s">
        <v>20</v>
      </c>
      <c r="D414" s="2">
        <v>42705</v>
      </c>
      <c r="E414" s="2">
        <v>42705</v>
      </c>
      <c r="F414" s="17">
        <v>1061000</v>
      </c>
      <c r="G414" s="17">
        <v>25023.58</v>
      </c>
      <c r="H414" s="1"/>
      <c r="I414" s="1" t="s">
        <v>21</v>
      </c>
      <c r="J414" s="1" t="s">
        <v>18</v>
      </c>
      <c r="K414" s="1" t="s">
        <v>220</v>
      </c>
      <c r="L414" s="1" t="s">
        <v>218</v>
      </c>
      <c r="M414" s="1"/>
      <c r="N414" s="1"/>
      <c r="O414" s="31">
        <v>2</v>
      </c>
      <c r="P414" s="31">
        <v>1</v>
      </c>
      <c r="Q414" s="32">
        <v>2016</v>
      </c>
    </row>
    <row r="415" spans="1:17" x14ac:dyDescent="0.25">
      <c r="A415" s="1" t="s">
        <v>229</v>
      </c>
      <c r="B415" s="31">
        <v>32.700000000000003</v>
      </c>
      <c r="C415" s="1" t="s">
        <v>20</v>
      </c>
      <c r="D415" s="2">
        <v>42644</v>
      </c>
      <c r="E415" s="2">
        <v>42644</v>
      </c>
      <c r="F415" s="17">
        <v>820000</v>
      </c>
      <c r="G415" s="17">
        <v>25076.45</v>
      </c>
      <c r="H415" s="1"/>
      <c r="I415" s="1" t="s">
        <v>21</v>
      </c>
      <c r="J415" s="1" t="s">
        <v>18</v>
      </c>
      <c r="K415" s="1" t="s">
        <v>220</v>
      </c>
      <c r="L415" s="1" t="s">
        <v>218</v>
      </c>
      <c r="M415" s="1"/>
      <c r="N415" s="1"/>
      <c r="O415" s="31">
        <v>5</v>
      </c>
      <c r="P415" s="31">
        <v>1</v>
      </c>
      <c r="Q415" s="32">
        <v>2004</v>
      </c>
    </row>
    <row r="416" spans="1:17" x14ac:dyDescent="0.25">
      <c r="A416" s="1" t="s">
        <v>244</v>
      </c>
      <c r="B416" s="31">
        <v>42.7</v>
      </c>
      <c r="C416" s="1" t="s">
        <v>20</v>
      </c>
      <c r="D416" s="2">
        <v>42705</v>
      </c>
      <c r="E416" s="2">
        <v>42705</v>
      </c>
      <c r="F416" s="17">
        <v>1080000</v>
      </c>
      <c r="G416" s="17">
        <v>25292.74</v>
      </c>
      <c r="H416" s="1"/>
      <c r="I416" s="1" t="s">
        <v>21</v>
      </c>
      <c r="J416" s="1" t="s">
        <v>22</v>
      </c>
      <c r="K416" s="1" t="s">
        <v>220</v>
      </c>
      <c r="L416" s="1" t="s">
        <v>218</v>
      </c>
      <c r="M416" s="1"/>
      <c r="N416" s="1"/>
      <c r="O416" s="31">
        <v>2</v>
      </c>
      <c r="P416" s="31">
        <v>1</v>
      </c>
      <c r="Q416" s="32">
        <v>2016</v>
      </c>
    </row>
    <row r="417" spans="1:17" x14ac:dyDescent="0.25">
      <c r="A417" s="1" t="s">
        <v>228</v>
      </c>
      <c r="B417" s="31">
        <v>58.4</v>
      </c>
      <c r="C417" s="1" t="s">
        <v>20</v>
      </c>
      <c r="D417" s="2">
        <v>42767</v>
      </c>
      <c r="E417" s="2">
        <v>42795</v>
      </c>
      <c r="F417" s="17">
        <v>1485000</v>
      </c>
      <c r="G417" s="17">
        <v>25428.080000000002</v>
      </c>
      <c r="H417" s="1"/>
      <c r="I417" s="1" t="s">
        <v>21</v>
      </c>
      <c r="J417" s="1" t="s">
        <v>248</v>
      </c>
      <c r="K417" s="1" t="s">
        <v>220</v>
      </c>
      <c r="L417" s="1" t="s">
        <v>218</v>
      </c>
      <c r="M417" s="1"/>
      <c r="N417" s="1" t="s">
        <v>225</v>
      </c>
      <c r="O417" s="31">
        <v>2</v>
      </c>
      <c r="P417" s="31">
        <v>1</v>
      </c>
      <c r="Q417" s="32">
        <v>2001</v>
      </c>
    </row>
    <row r="418" spans="1:17" x14ac:dyDescent="0.25">
      <c r="A418" s="1" t="s">
        <v>227</v>
      </c>
      <c r="B418" s="31">
        <v>56.2</v>
      </c>
      <c r="C418" s="1" t="s">
        <v>20</v>
      </c>
      <c r="D418" s="2">
        <v>42644</v>
      </c>
      <c r="E418" s="2">
        <v>42644</v>
      </c>
      <c r="F418" s="17">
        <v>1440000</v>
      </c>
      <c r="G418" s="17">
        <v>25622.78</v>
      </c>
      <c r="H418" s="1"/>
      <c r="I418" s="1" t="s">
        <v>21</v>
      </c>
      <c r="J418" s="1" t="s">
        <v>22</v>
      </c>
      <c r="K418" s="1" t="s">
        <v>220</v>
      </c>
      <c r="L418" s="1" t="s">
        <v>218</v>
      </c>
      <c r="M418" s="1"/>
      <c r="N418" s="1" t="s">
        <v>75</v>
      </c>
      <c r="O418" s="31">
        <v>10</v>
      </c>
      <c r="P418" s="31">
        <v>1</v>
      </c>
      <c r="Q418" s="32">
        <v>2003</v>
      </c>
    </row>
    <row r="419" spans="1:17" x14ac:dyDescent="0.25">
      <c r="A419" s="1" t="s">
        <v>219</v>
      </c>
      <c r="B419" s="31">
        <v>62.8</v>
      </c>
      <c r="C419" s="1" t="s">
        <v>20</v>
      </c>
      <c r="D419" s="2">
        <v>42675</v>
      </c>
      <c r="E419" s="2">
        <v>42675</v>
      </c>
      <c r="F419" s="17">
        <v>1630000</v>
      </c>
      <c r="G419" s="17">
        <v>25955.41</v>
      </c>
      <c r="H419" s="1"/>
      <c r="I419" s="1" t="s">
        <v>21</v>
      </c>
      <c r="J419" s="1" t="s">
        <v>22</v>
      </c>
      <c r="K419" s="1" t="s">
        <v>220</v>
      </c>
      <c r="L419" s="1" t="s">
        <v>218</v>
      </c>
      <c r="M419" s="1"/>
      <c r="N419" s="1" t="s">
        <v>221</v>
      </c>
      <c r="O419" s="31">
        <v>5</v>
      </c>
      <c r="P419" s="31">
        <v>1</v>
      </c>
      <c r="Q419" s="32">
        <v>2016</v>
      </c>
    </row>
    <row r="420" spans="1:17" x14ac:dyDescent="0.25">
      <c r="A420" s="1" t="s">
        <v>230</v>
      </c>
      <c r="B420" s="31">
        <v>32.6</v>
      </c>
      <c r="C420" s="1" t="s">
        <v>20</v>
      </c>
      <c r="D420" s="2">
        <v>42705</v>
      </c>
      <c r="E420" s="2">
        <v>42705</v>
      </c>
      <c r="F420" s="17">
        <v>848000</v>
      </c>
      <c r="G420" s="17">
        <v>26012.27</v>
      </c>
      <c r="H420" s="1"/>
      <c r="I420" s="1" t="s">
        <v>21</v>
      </c>
      <c r="J420" s="1" t="s">
        <v>18</v>
      </c>
      <c r="K420" s="1" t="s">
        <v>220</v>
      </c>
      <c r="L420" s="1" t="s">
        <v>218</v>
      </c>
      <c r="M420" s="1"/>
      <c r="N420" s="1" t="s">
        <v>239</v>
      </c>
      <c r="O420" s="31">
        <v>2</v>
      </c>
      <c r="P420" s="31">
        <v>1</v>
      </c>
      <c r="Q420" s="32">
        <v>1999</v>
      </c>
    </row>
    <row r="421" spans="1:17" x14ac:dyDescent="0.25">
      <c r="A421" s="1" t="s">
        <v>229</v>
      </c>
      <c r="B421" s="31">
        <v>43</v>
      </c>
      <c r="C421" s="1" t="s">
        <v>20</v>
      </c>
      <c r="D421" s="2">
        <v>42675</v>
      </c>
      <c r="E421" s="2">
        <v>42675</v>
      </c>
      <c r="F421" s="17">
        <v>1120000</v>
      </c>
      <c r="G421" s="17">
        <v>26046.51</v>
      </c>
      <c r="H421" s="1"/>
      <c r="I421" s="1" t="s">
        <v>21</v>
      </c>
      <c r="J421" s="1" t="s">
        <v>18</v>
      </c>
      <c r="K421" s="1" t="s">
        <v>220</v>
      </c>
      <c r="L421" s="1" t="s">
        <v>218</v>
      </c>
      <c r="M421" s="1"/>
      <c r="N421" s="1" t="s">
        <v>223</v>
      </c>
      <c r="O421" s="31">
        <v>2</v>
      </c>
      <c r="P421" s="31">
        <v>1</v>
      </c>
      <c r="Q421" s="32">
        <v>2000</v>
      </c>
    </row>
    <row r="422" spans="1:17" x14ac:dyDescent="0.25">
      <c r="A422" s="1" t="s">
        <v>228</v>
      </c>
      <c r="B422" s="31">
        <v>49</v>
      </c>
      <c r="C422" s="1" t="s">
        <v>20</v>
      </c>
      <c r="D422" s="2">
        <v>42705</v>
      </c>
      <c r="E422" s="2">
        <v>42705</v>
      </c>
      <c r="F422" s="17">
        <v>1280000</v>
      </c>
      <c r="G422" s="17">
        <v>26122.45</v>
      </c>
      <c r="H422" s="1"/>
      <c r="I422" s="1" t="s">
        <v>21</v>
      </c>
      <c r="J422" s="1" t="s">
        <v>18</v>
      </c>
      <c r="K422" s="1" t="s">
        <v>220</v>
      </c>
      <c r="L422" s="1" t="s">
        <v>218</v>
      </c>
      <c r="M422" s="1"/>
      <c r="N422" s="1" t="s">
        <v>225</v>
      </c>
      <c r="O422" s="31">
        <v>4</v>
      </c>
      <c r="P422" s="31">
        <v>1</v>
      </c>
      <c r="Q422" s="32">
        <v>2003</v>
      </c>
    </row>
    <row r="423" spans="1:17" x14ac:dyDescent="0.25">
      <c r="A423" s="1" t="s">
        <v>228</v>
      </c>
      <c r="B423" s="31">
        <v>36.6</v>
      </c>
      <c r="C423" s="1" t="s">
        <v>20</v>
      </c>
      <c r="D423" s="2">
        <v>42705</v>
      </c>
      <c r="E423" s="2">
        <v>42705</v>
      </c>
      <c r="F423" s="17">
        <v>960000</v>
      </c>
      <c r="G423" s="17">
        <v>26229.51</v>
      </c>
      <c r="H423" s="1"/>
      <c r="I423" s="1" t="s">
        <v>21</v>
      </c>
      <c r="J423" s="1" t="s">
        <v>18</v>
      </c>
      <c r="K423" s="1" t="s">
        <v>220</v>
      </c>
      <c r="L423" s="1" t="s">
        <v>218</v>
      </c>
      <c r="M423" s="1"/>
      <c r="N423" s="1" t="s">
        <v>145</v>
      </c>
      <c r="O423" s="31">
        <v>4</v>
      </c>
      <c r="P423" s="31">
        <v>2</v>
      </c>
      <c r="Q423" s="32">
        <v>1999</v>
      </c>
    </row>
    <row r="424" spans="1:17" x14ac:dyDescent="0.25">
      <c r="A424" s="1" t="s">
        <v>228</v>
      </c>
      <c r="B424" s="31">
        <v>36.6</v>
      </c>
      <c r="C424" s="1" t="s">
        <v>20</v>
      </c>
      <c r="D424" s="2">
        <v>42705</v>
      </c>
      <c r="E424" s="2">
        <v>42705</v>
      </c>
      <c r="F424" s="17">
        <v>960000</v>
      </c>
      <c r="G424" s="17">
        <v>26229.51</v>
      </c>
      <c r="H424" s="1"/>
      <c r="I424" s="1" t="s">
        <v>21</v>
      </c>
      <c r="J424" s="1" t="s">
        <v>18</v>
      </c>
      <c r="K424" s="1" t="s">
        <v>220</v>
      </c>
      <c r="L424" s="1" t="s">
        <v>218</v>
      </c>
      <c r="M424" s="1"/>
      <c r="N424" s="1" t="s">
        <v>145</v>
      </c>
      <c r="O424" s="31">
        <v>4</v>
      </c>
      <c r="P424" s="31">
        <v>2</v>
      </c>
      <c r="Q424" s="32">
        <v>1999</v>
      </c>
    </row>
    <row r="425" spans="1:17" x14ac:dyDescent="0.25">
      <c r="A425" s="1" t="s">
        <v>226</v>
      </c>
      <c r="B425" s="31">
        <v>29.9</v>
      </c>
      <c r="C425" s="1" t="s">
        <v>20</v>
      </c>
      <c r="D425" s="2">
        <v>42705</v>
      </c>
      <c r="E425" s="2">
        <v>42705</v>
      </c>
      <c r="F425" s="17">
        <v>800000</v>
      </c>
      <c r="G425" s="17">
        <v>26755.85</v>
      </c>
      <c r="H425" s="1"/>
      <c r="I425" s="1" t="s">
        <v>21</v>
      </c>
      <c r="J425" s="1" t="s">
        <v>22</v>
      </c>
      <c r="K425" s="1" t="s">
        <v>220</v>
      </c>
      <c r="L425" s="1" t="s">
        <v>218</v>
      </c>
      <c r="M425" s="1"/>
      <c r="N425" s="1"/>
      <c r="O425" s="31">
        <v>4</v>
      </c>
      <c r="P425" s="31">
        <v>2</v>
      </c>
      <c r="Q425" s="32">
        <v>2002</v>
      </c>
    </row>
    <row r="426" spans="1:17" x14ac:dyDescent="0.25">
      <c r="A426" s="1" t="s">
        <v>226</v>
      </c>
      <c r="B426" s="31">
        <v>29.9</v>
      </c>
      <c r="C426" s="1" t="s">
        <v>20</v>
      </c>
      <c r="D426" s="2">
        <v>42705</v>
      </c>
      <c r="E426" s="2">
        <v>42705</v>
      </c>
      <c r="F426" s="17">
        <v>800000</v>
      </c>
      <c r="G426" s="17">
        <v>26755.85</v>
      </c>
      <c r="H426" s="1"/>
      <c r="I426" s="1" t="s">
        <v>21</v>
      </c>
      <c r="J426" s="1" t="s">
        <v>22</v>
      </c>
      <c r="K426" s="1" t="s">
        <v>220</v>
      </c>
      <c r="L426" s="1" t="s">
        <v>218</v>
      </c>
      <c r="M426" s="1"/>
      <c r="N426" s="1"/>
      <c r="O426" s="31">
        <v>4</v>
      </c>
      <c r="P426" s="31">
        <v>2</v>
      </c>
      <c r="Q426" s="32">
        <v>2002</v>
      </c>
    </row>
    <row r="427" spans="1:17" x14ac:dyDescent="0.25">
      <c r="A427" s="1" t="s">
        <v>226</v>
      </c>
      <c r="B427" s="31">
        <v>46</v>
      </c>
      <c r="C427" s="1" t="s">
        <v>20</v>
      </c>
      <c r="D427" s="2">
        <v>42705</v>
      </c>
      <c r="E427" s="2">
        <v>42705</v>
      </c>
      <c r="F427" s="17">
        <v>1240000</v>
      </c>
      <c r="G427" s="17">
        <v>26956.52</v>
      </c>
      <c r="H427" s="1"/>
      <c r="I427" s="1" t="s">
        <v>21</v>
      </c>
      <c r="J427" s="1" t="s">
        <v>22</v>
      </c>
      <c r="K427" s="1" t="s">
        <v>220</v>
      </c>
      <c r="L427" s="1" t="s">
        <v>218</v>
      </c>
      <c r="M427" s="1"/>
      <c r="N427" s="1"/>
      <c r="O427" s="31">
        <v>2</v>
      </c>
      <c r="P427" s="31">
        <v>1</v>
      </c>
      <c r="Q427" s="32">
        <v>2007</v>
      </c>
    </row>
    <row r="428" spans="1:17" x14ac:dyDescent="0.25">
      <c r="A428" s="1" t="s">
        <v>226</v>
      </c>
      <c r="B428" s="31">
        <v>47.1</v>
      </c>
      <c r="C428" s="1" t="s">
        <v>20</v>
      </c>
      <c r="D428" s="2">
        <v>42795</v>
      </c>
      <c r="E428" s="2">
        <v>42795</v>
      </c>
      <c r="F428" s="17">
        <v>1280000</v>
      </c>
      <c r="G428" s="17">
        <v>27176.22</v>
      </c>
      <c r="H428" s="1"/>
      <c r="I428" s="1" t="s">
        <v>21</v>
      </c>
      <c r="J428" s="1" t="s">
        <v>22</v>
      </c>
      <c r="K428" s="1" t="s">
        <v>220</v>
      </c>
      <c r="L428" s="1" t="s">
        <v>218</v>
      </c>
      <c r="M428" s="1"/>
      <c r="N428" s="1"/>
      <c r="O428" s="31">
        <v>6</v>
      </c>
      <c r="P428" s="31">
        <v>1</v>
      </c>
      <c r="Q428" s="32">
        <v>2011</v>
      </c>
    </row>
    <row r="429" spans="1:17" x14ac:dyDescent="0.25">
      <c r="A429" s="1" t="s">
        <v>226</v>
      </c>
      <c r="B429" s="31">
        <v>60.5</v>
      </c>
      <c r="C429" s="1" t="s">
        <v>20</v>
      </c>
      <c r="D429" s="2">
        <v>42644</v>
      </c>
      <c r="E429" s="2">
        <v>42644</v>
      </c>
      <c r="F429" s="17">
        <v>1650000</v>
      </c>
      <c r="G429" s="17">
        <v>27272.73</v>
      </c>
      <c r="H429" s="1"/>
      <c r="I429" s="1" t="s">
        <v>21</v>
      </c>
      <c r="J429" s="1" t="s">
        <v>22</v>
      </c>
      <c r="K429" s="1" t="s">
        <v>220</v>
      </c>
      <c r="L429" s="1" t="s">
        <v>218</v>
      </c>
      <c r="M429" s="1"/>
      <c r="N429" s="1"/>
      <c r="O429" s="31">
        <v>7</v>
      </c>
      <c r="P429" s="31">
        <v>1</v>
      </c>
      <c r="Q429" s="32">
        <v>2011</v>
      </c>
    </row>
    <row r="430" spans="1:17" x14ac:dyDescent="0.25">
      <c r="A430" s="1" t="s">
        <v>232</v>
      </c>
      <c r="B430" s="31">
        <v>50.6</v>
      </c>
      <c r="C430" s="1" t="s">
        <v>20</v>
      </c>
      <c r="D430" s="2">
        <v>42644</v>
      </c>
      <c r="E430" s="2">
        <v>42675</v>
      </c>
      <c r="F430" s="17">
        <v>1400000</v>
      </c>
      <c r="G430" s="17">
        <v>27667.98</v>
      </c>
      <c r="H430" s="1"/>
      <c r="I430" s="1" t="s">
        <v>21</v>
      </c>
      <c r="J430" s="1" t="s">
        <v>18</v>
      </c>
      <c r="K430" s="1" t="s">
        <v>220</v>
      </c>
      <c r="L430" s="1" t="s">
        <v>218</v>
      </c>
      <c r="M430" s="1"/>
      <c r="N430" s="1" t="s">
        <v>225</v>
      </c>
      <c r="O430" s="31">
        <v>6</v>
      </c>
      <c r="P430" s="31">
        <v>1</v>
      </c>
      <c r="Q430" s="32">
        <v>2002</v>
      </c>
    </row>
    <row r="431" spans="1:17" x14ac:dyDescent="0.25">
      <c r="A431" s="1" t="s">
        <v>226</v>
      </c>
      <c r="B431" s="31">
        <v>46</v>
      </c>
      <c r="C431" s="1" t="s">
        <v>20</v>
      </c>
      <c r="D431" s="2">
        <v>42767</v>
      </c>
      <c r="E431" s="2">
        <v>42767</v>
      </c>
      <c r="F431" s="17">
        <v>1280000</v>
      </c>
      <c r="G431" s="17">
        <v>27826.09</v>
      </c>
      <c r="H431" s="1"/>
      <c r="I431" s="1" t="s">
        <v>21</v>
      </c>
      <c r="J431" s="1" t="s">
        <v>22</v>
      </c>
      <c r="K431" s="1" t="s">
        <v>220</v>
      </c>
      <c r="L431" s="1" t="s">
        <v>218</v>
      </c>
      <c r="M431" s="1"/>
      <c r="N431" s="1"/>
      <c r="O431" s="31">
        <v>1</v>
      </c>
      <c r="P431" s="31">
        <v>1</v>
      </c>
      <c r="Q431" s="32">
        <v>2008</v>
      </c>
    </row>
    <row r="432" spans="1:17" x14ac:dyDescent="0.25">
      <c r="A432" s="1" t="s">
        <v>226</v>
      </c>
      <c r="B432" s="31">
        <v>37.1</v>
      </c>
      <c r="C432" s="1" t="s">
        <v>20</v>
      </c>
      <c r="D432" s="2">
        <v>42736</v>
      </c>
      <c r="E432" s="2">
        <v>42767</v>
      </c>
      <c r="F432" s="17">
        <v>1032500</v>
      </c>
      <c r="G432" s="17">
        <v>27830.19</v>
      </c>
      <c r="H432" s="1"/>
      <c r="I432" s="1" t="s">
        <v>21</v>
      </c>
      <c r="J432" s="1" t="s">
        <v>18</v>
      </c>
      <c r="K432" s="1" t="s">
        <v>220</v>
      </c>
      <c r="L432" s="1" t="s">
        <v>218</v>
      </c>
      <c r="M432" s="1"/>
      <c r="N432" s="1" t="s">
        <v>245</v>
      </c>
      <c r="O432" s="31">
        <v>1</v>
      </c>
      <c r="P432" s="31">
        <v>1</v>
      </c>
      <c r="Q432" s="32">
        <v>2013</v>
      </c>
    </row>
    <row r="433" spans="1:17" x14ac:dyDescent="0.25">
      <c r="A433" s="1" t="s">
        <v>226</v>
      </c>
      <c r="B433" s="31">
        <v>39.700000000000003</v>
      </c>
      <c r="C433" s="1" t="s">
        <v>20</v>
      </c>
      <c r="D433" s="2">
        <v>42736</v>
      </c>
      <c r="E433" s="2">
        <v>42767</v>
      </c>
      <c r="F433" s="17">
        <v>1105000</v>
      </c>
      <c r="G433" s="17">
        <v>27833.75</v>
      </c>
      <c r="H433" s="1"/>
      <c r="I433" s="1" t="s">
        <v>21</v>
      </c>
      <c r="J433" s="1" t="s">
        <v>22</v>
      </c>
      <c r="K433" s="1" t="s">
        <v>220</v>
      </c>
      <c r="L433" s="1" t="s">
        <v>218</v>
      </c>
      <c r="M433" s="1"/>
      <c r="N433" s="1"/>
      <c r="O433" s="31">
        <v>2</v>
      </c>
      <c r="P433" s="31">
        <v>1</v>
      </c>
      <c r="Q433" s="32">
        <v>2006</v>
      </c>
    </row>
    <row r="434" spans="1:17" x14ac:dyDescent="0.25">
      <c r="A434" s="1" t="s">
        <v>226</v>
      </c>
      <c r="B434" s="31">
        <v>59.1</v>
      </c>
      <c r="C434" s="1" t="s">
        <v>20</v>
      </c>
      <c r="D434" s="2">
        <v>42736</v>
      </c>
      <c r="E434" s="2">
        <v>42736</v>
      </c>
      <c r="F434" s="17">
        <v>1670000</v>
      </c>
      <c r="G434" s="17">
        <v>28257.19</v>
      </c>
      <c r="H434" s="1"/>
      <c r="I434" s="1" t="s">
        <v>21</v>
      </c>
      <c r="J434" s="1" t="s">
        <v>32</v>
      </c>
      <c r="K434" s="1" t="s">
        <v>220</v>
      </c>
      <c r="L434" s="1" t="s">
        <v>218</v>
      </c>
      <c r="M434" s="1"/>
      <c r="N434" s="1"/>
      <c r="O434" s="31">
        <v>7</v>
      </c>
      <c r="P434" s="31">
        <v>1</v>
      </c>
      <c r="Q434" s="32">
        <v>2008</v>
      </c>
    </row>
    <row r="435" spans="1:17" x14ac:dyDescent="0.25">
      <c r="A435" s="1" t="s">
        <v>232</v>
      </c>
      <c r="B435" s="31">
        <v>52</v>
      </c>
      <c r="C435" s="1" t="s">
        <v>20</v>
      </c>
      <c r="D435" s="2">
        <v>42705</v>
      </c>
      <c r="E435" s="2">
        <v>42705</v>
      </c>
      <c r="F435" s="17">
        <v>1480000</v>
      </c>
      <c r="G435" s="17">
        <v>28461.54</v>
      </c>
      <c r="H435" s="1"/>
      <c r="I435" s="1" t="s">
        <v>21</v>
      </c>
      <c r="J435" s="1" t="s">
        <v>22</v>
      </c>
      <c r="K435" s="1" t="s">
        <v>220</v>
      </c>
      <c r="L435" s="1" t="s">
        <v>218</v>
      </c>
      <c r="M435" s="1"/>
      <c r="N435" s="1"/>
      <c r="O435" s="31">
        <v>8</v>
      </c>
      <c r="P435" s="31">
        <v>1</v>
      </c>
      <c r="Q435" s="32">
        <v>2015</v>
      </c>
    </row>
    <row r="436" spans="1:17" x14ac:dyDescent="0.25">
      <c r="A436" s="1" t="s">
        <v>240</v>
      </c>
      <c r="B436" s="31">
        <v>98.3</v>
      </c>
      <c r="C436" s="1" t="s">
        <v>20</v>
      </c>
      <c r="D436" s="2">
        <v>42705</v>
      </c>
      <c r="E436" s="2">
        <v>42705</v>
      </c>
      <c r="F436" s="17">
        <v>2800000</v>
      </c>
      <c r="G436" s="17">
        <v>28484.23</v>
      </c>
      <c r="H436" s="1"/>
      <c r="I436" s="1" t="s">
        <v>21</v>
      </c>
      <c r="J436" s="1" t="s">
        <v>18</v>
      </c>
      <c r="K436" s="1" t="s">
        <v>220</v>
      </c>
      <c r="L436" s="1" t="s">
        <v>218</v>
      </c>
      <c r="M436" s="1"/>
      <c r="N436" s="1" t="s">
        <v>241</v>
      </c>
      <c r="O436" s="31">
        <v>1</v>
      </c>
      <c r="P436" s="31">
        <v>1</v>
      </c>
      <c r="Q436" s="32">
        <v>2016</v>
      </c>
    </row>
    <row r="437" spans="1:17" x14ac:dyDescent="0.25">
      <c r="A437" s="1" t="s">
        <v>219</v>
      </c>
      <c r="B437" s="31">
        <v>37.4</v>
      </c>
      <c r="C437" s="1" t="s">
        <v>20</v>
      </c>
      <c r="D437" s="2">
        <v>42705</v>
      </c>
      <c r="E437" s="2">
        <v>42705</v>
      </c>
      <c r="F437" s="17">
        <v>1080000</v>
      </c>
      <c r="G437" s="17">
        <v>28877.01</v>
      </c>
      <c r="H437" s="1"/>
      <c r="I437" s="1" t="s">
        <v>21</v>
      </c>
      <c r="J437" s="1" t="s">
        <v>22</v>
      </c>
      <c r="K437" s="1" t="s">
        <v>220</v>
      </c>
      <c r="L437" s="1" t="s">
        <v>218</v>
      </c>
      <c r="M437" s="1"/>
      <c r="N437" s="1" t="s">
        <v>221</v>
      </c>
      <c r="O437" s="31">
        <v>4</v>
      </c>
      <c r="P437" s="31">
        <v>1</v>
      </c>
      <c r="Q437" s="32">
        <v>2008</v>
      </c>
    </row>
    <row r="438" spans="1:17" x14ac:dyDescent="0.25">
      <c r="A438" s="1" t="s">
        <v>228</v>
      </c>
      <c r="B438" s="31">
        <v>50.8</v>
      </c>
      <c r="C438" s="1" t="s">
        <v>20</v>
      </c>
      <c r="D438" s="2">
        <v>42767</v>
      </c>
      <c r="E438" s="2">
        <v>42767</v>
      </c>
      <c r="F438" s="17">
        <v>1480000</v>
      </c>
      <c r="G438" s="17">
        <v>29133.86</v>
      </c>
      <c r="H438" s="1"/>
      <c r="I438" s="1" t="s">
        <v>21</v>
      </c>
      <c r="J438" s="1" t="s">
        <v>22</v>
      </c>
      <c r="K438" s="1" t="s">
        <v>220</v>
      </c>
      <c r="L438" s="1" t="s">
        <v>218</v>
      </c>
      <c r="M438" s="1"/>
      <c r="N438" s="1" t="s">
        <v>75</v>
      </c>
      <c r="O438" s="31">
        <v>3</v>
      </c>
      <c r="P438" s="31">
        <v>1</v>
      </c>
      <c r="Q438" s="32">
        <v>2005</v>
      </c>
    </row>
    <row r="439" spans="1:17" x14ac:dyDescent="0.25">
      <c r="A439" s="1" t="s">
        <v>228</v>
      </c>
      <c r="B439" s="31">
        <v>47.8</v>
      </c>
      <c r="C439" s="1" t="s">
        <v>20</v>
      </c>
      <c r="D439" s="2">
        <v>42705</v>
      </c>
      <c r="E439" s="2">
        <v>42705</v>
      </c>
      <c r="F439" s="17">
        <v>1395000</v>
      </c>
      <c r="G439" s="17">
        <v>29184.1</v>
      </c>
      <c r="H439" s="1"/>
      <c r="I439" s="1" t="s">
        <v>21</v>
      </c>
      <c r="J439" s="1" t="s">
        <v>22</v>
      </c>
      <c r="K439" s="1" t="s">
        <v>220</v>
      </c>
      <c r="L439" s="1" t="s">
        <v>218</v>
      </c>
      <c r="M439" s="1"/>
      <c r="N439" s="1" t="s">
        <v>49</v>
      </c>
      <c r="O439" s="31">
        <v>5</v>
      </c>
      <c r="P439" s="31">
        <v>1</v>
      </c>
      <c r="Q439" s="32">
        <v>2016</v>
      </c>
    </row>
    <row r="440" spans="1:17" x14ac:dyDescent="0.25">
      <c r="A440" s="1" t="s">
        <v>226</v>
      </c>
      <c r="B440" s="31">
        <v>34</v>
      </c>
      <c r="C440" s="1" t="s">
        <v>20</v>
      </c>
      <c r="D440" s="2">
        <v>42795</v>
      </c>
      <c r="E440" s="2">
        <v>42795</v>
      </c>
      <c r="F440" s="17">
        <v>1000000</v>
      </c>
      <c r="G440" s="17">
        <v>29411.759999999998</v>
      </c>
      <c r="H440" s="1"/>
      <c r="I440" s="1" t="s">
        <v>21</v>
      </c>
      <c r="J440" s="1" t="s">
        <v>251</v>
      </c>
      <c r="K440" s="1" t="s">
        <v>220</v>
      </c>
      <c r="L440" s="1" t="s">
        <v>218</v>
      </c>
      <c r="M440" s="1"/>
      <c r="N440" s="1"/>
      <c r="O440" s="31">
        <v>5</v>
      </c>
      <c r="P440" s="31">
        <v>1</v>
      </c>
      <c r="Q440" s="32">
        <v>2005</v>
      </c>
    </row>
    <row r="441" spans="1:17" x14ac:dyDescent="0.25">
      <c r="A441" s="1" t="s">
        <v>227</v>
      </c>
      <c r="B441" s="31">
        <v>56.6</v>
      </c>
      <c r="C441" s="1" t="s">
        <v>20</v>
      </c>
      <c r="D441" s="2">
        <v>42675</v>
      </c>
      <c r="E441" s="2">
        <v>42675</v>
      </c>
      <c r="F441" s="17">
        <v>1680000</v>
      </c>
      <c r="G441" s="17">
        <v>29681.98</v>
      </c>
      <c r="H441" s="1"/>
      <c r="I441" s="1" t="s">
        <v>21</v>
      </c>
      <c r="J441" s="1" t="s">
        <v>22</v>
      </c>
      <c r="K441" s="1" t="s">
        <v>220</v>
      </c>
      <c r="L441" s="1" t="s">
        <v>218</v>
      </c>
      <c r="M441" s="1"/>
      <c r="N441" s="1" t="s">
        <v>75</v>
      </c>
      <c r="O441" s="31">
        <v>8</v>
      </c>
      <c r="P441" s="31">
        <v>2</v>
      </c>
      <c r="Q441" s="32">
        <v>2002</v>
      </c>
    </row>
    <row r="442" spans="1:17" x14ac:dyDescent="0.25">
      <c r="A442" s="1" t="s">
        <v>227</v>
      </c>
      <c r="B442" s="31">
        <v>56.6</v>
      </c>
      <c r="C442" s="1" t="s">
        <v>20</v>
      </c>
      <c r="D442" s="2">
        <v>42675</v>
      </c>
      <c r="E442" s="2">
        <v>42675</v>
      </c>
      <c r="F442" s="17">
        <v>1680000</v>
      </c>
      <c r="G442" s="17">
        <v>29681.98</v>
      </c>
      <c r="H442" s="1"/>
      <c r="I442" s="1" t="s">
        <v>21</v>
      </c>
      <c r="J442" s="1" t="s">
        <v>22</v>
      </c>
      <c r="K442" s="1" t="s">
        <v>220</v>
      </c>
      <c r="L442" s="1" t="s">
        <v>218</v>
      </c>
      <c r="M442" s="1"/>
      <c r="N442" s="1" t="s">
        <v>75</v>
      </c>
      <c r="O442" s="31">
        <v>8</v>
      </c>
      <c r="P442" s="31">
        <v>2</v>
      </c>
      <c r="Q442" s="32">
        <v>2002</v>
      </c>
    </row>
    <row r="443" spans="1:17" x14ac:dyDescent="0.25">
      <c r="A443" s="1" t="s">
        <v>219</v>
      </c>
      <c r="B443" s="31">
        <v>49.5</v>
      </c>
      <c r="C443" s="1" t="s">
        <v>20</v>
      </c>
      <c r="D443" s="2">
        <v>42705</v>
      </c>
      <c r="E443" s="2">
        <v>42705</v>
      </c>
      <c r="F443" s="17">
        <v>1488000</v>
      </c>
      <c r="G443" s="17">
        <v>30060.61</v>
      </c>
      <c r="H443" s="1"/>
      <c r="I443" s="1" t="s">
        <v>21</v>
      </c>
      <c r="J443" s="1" t="s">
        <v>22</v>
      </c>
      <c r="K443" s="1" t="s">
        <v>220</v>
      </c>
      <c r="L443" s="1" t="s">
        <v>218</v>
      </c>
      <c r="M443" s="1"/>
      <c r="N443" s="1" t="s">
        <v>221</v>
      </c>
      <c r="O443" s="31">
        <v>4</v>
      </c>
      <c r="P443" s="31">
        <v>2</v>
      </c>
      <c r="Q443" s="32">
        <v>2003</v>
      </c>
    </row>
    <row r="444" spans="1:17" x14ac:dyDescent="0.25">
      <c r="A444" s="1" t="s">
        <v>219</v>
      </c>
      <c r="B444" s="31">
        <v>49.5</v>
      </c>
      <c r="C444" s="1" t="s">
        <v>20</v>
      </c>
      <c r="D444" s="2">
        <v>42705</v>
      </c>
      <c r="E444" s="2">
        <v>42705</v>
      </c>
      <c r="F444" s="17">
        <v>1488000</v>
      </c>
      <c r="G444" s="17">
        <v>30060.61</v>
      </c>
      <c r="H444" s="1"/>
      <c r="I444" s="1" t="s">
        <v>21</v>
      </c>
      <c r="J444" s="1" t="s">
        <v>22</v>
      </c>
      <c r="K444" s="1" t="s">
        <v>220</v>
      </c>
      <c r="L444" s="1" t="s">
        <v>218</v>
      </c>
      <c r="M444" s="1"/>
      <c r="N444" s="1" t="s">
        <v>221</v>
      </c>
      <c r="O444" s="31">
        <v>4</v>
      </c>
      <c r="P444" s="31">
        <v>2</v>
      </c>
      <c r="Q444" s="32">
        <v>2003</v>
      </c>
    </row>
    <row r="445" spans="1:17" x14ac:dyDescent="0.25">
      <c r="A445" s="1" t="s">
        <v>232</v>
      </c>
      <c r="B445" s="31">
        <v>37.200000000000003</v>
      </c>
      <c r="C445" s="1" t="s">
        <v>20</v>
      </c>
      <c r="D445" s="2">
        <v>42675</v>
      </c>
      <c r="E445" s="2">
        <v>42675</v>
      </c>
      <c r="F445" s="17">
        <v>1120000</v>
      </c>
      <c r="G445" s="17">
        <v>30107.53</v>
      </c>
      <c r="H445" s="1"/>
      <c r="I445" s="1" t="s">
        <v>21</v>
      </c>
      <c r="J445" s="1" t="s">
        <v>32</v>
      </c>
      <c r="K445" s="1" t="s">
        <v>220</v>
      </c>
      <c r="L445" s="1" t="s">
        <v>218</v>
      </c>
      <c r="M445" s="1"/>
      <c r="N445" s="1" t="s">
        <v>225</v>
      </c>
      <c r="O445" s="31">
        <v>5</v>
      </c>
      <c r="P445" s="31">
        <v>2</v>
      </c>
      <c r="Q445" s="32">
        <v>2004</v>
      </c>
    </row>
    <row r="446" spans="1:17" x14ac:dyDescent="0.25">
      <c r="A446" s="1" t="s">
        <v>232</v>
      </c>
      <c r="B446" s="31">
        <v>37.200000000000003</v>
      </c>
      <c r="C446" s="1" t="s">
        <v>20</v>
      </c>
      <c r="D446" s="2">
        <v>42675</v>
      </c>
      <c r="E446" s="2">
        <v>42675</v>
      </c>
      <c r="F446" s="17">
        <v>1120000</v>
      </c>
      <c r="G446" s="17">
        <v>30107.53</v>
      </c>
      <c r="H446" s="1"/>
      <c r="I446" s="1" t="s">
        <v>21</v>
      </c>
      <c r="J446" s="1" t="s">
        <v>32</v>
      </c>
      <c r="K446" s="1" t="s">
        <v>220</v>
      </c>
      <c r="L446" s="1" t="s">
        <v>218</v>
      </c>
      <c r="M446" s="1"/>
      <c r="N446" s="1" t="s">
        <v>225</v>
      </c>
      <c r="O446" s="31">
        <v>5</v>
      </c>
      <c r="P446" s="31">
        <v>2</v>
      </c>
      <c r="Q446" s="32">
        <v>2004</v>
      </c>
    </row>
    <row r="447" spans="1:17" x14ac:dyDescent="0.25">
      <c r="A447" s="1" t="s">
        <v>232</v>
      </c>
      <c r="B447" s="31">
        <v>52.6</v>
      </c>
      <c r="C447" s="1" t="s">
        <v>20</v>
      </c>
      <c r="D447" s="2">
        <v>42675</v>
      </c>
      <c r="E447" s="2">
        <v>42675</v>
      </c>
      <c r="F447" s="17">
        <v>1600000</v>
      </c>
      <c r="G447" s="17">
        <v>30418.25</v>
      </c>
      <c r="H447" s="1"/>
      <c r="I447" s="1" t="s">
        <v>21</v>
      </c>
      <c r="J447" s="1" t="s">
        <v>18</v>
      </c>
      <c r="K447" s="1" t="s">
        <v>220</v>
      </c>
      <c r="L447" s="1" t="s">
        <v>218</v>
      </c>
      <c r="M447" s="1"/>
      <c r="N447" s="1" t="s">
        <v>225</v>
      </c>
      <c r="O447" s="31">
        <v>3</v>
      </c>
      <c r="P447" s="31">
        <v>1</v>
      </c>
      <c r="Q447" s="32">
        <v>2016</v>
      </c>
    </row>
    <row r="448" spans="1:17" x14ac:dyDescent="0.25">
      <c r="A448" s="1" t="s">
        <v>231</v>
      </c>
      <c r="B448" s="31">
        <v>43.9</v>
      </c>
      <c r="C448" s="1" t="s">
        <v>20</v>
      </c>
      <c r="D448" s="2">
        <v>42644</v>
      </c>
      <c r="E448" s="2">
        <v>42644</v>
      </c>
      <c r="F448" s="17">
        <v>1360000</v>
      </c>
      <c r="G448" s="17">
        <v>30979.5</v>
      </c>
      <c r="H448" s="1"/>
      <c r="I448" s="1" t="s">
        <v>21</v>
      </c>
      <c r="J448" s="1" t="s">
        <v>22</v>
      </c>
      <c r="K448" s="1" t="s">
        <v>220</v>
      </c>
      <c r="L448" s="1" t="s">
        <v>218</v>
      </c>
      <c r="M448" s="1"/>
      <c r="N448" s="1"/>
      <c r="O448" s="31">
        <v>5</v>
      </c>
      <c r="P448" s="31">
        <v>1</v>
      </c>
      <c r="Q448" s="32">
        <v>2010</v>
      </c>
    </row>
    <row r="449" spans="1:17" x14ac:dyDescent="0.25">
      <c r="A449" s="1" t="s">
        <v>232</v>
      </c>
      <c r="B449" s="31">
        <v>51.1</v>
      </c>
      <c r="C449" s="1" t="s">
        <v>20</v>
      </c>
      <c r="D449" s="2">
        <v>42767</v>
      </c>
      <c r="E449" s="2">
        <v>42767</v>
      </c>
      <c r="F449" s="17">
        <v>1600000</v>
      </c>
      <c r="G449" s="17">
        <v>31311.15</v>
      </c>
      <c r="H449" s="1"/>
      <c r="I449" s="1" t="s">
        <v>21</v>
      </c>
      <c r="J449" s="1" t="s">
        <v>18</v>
      </c>
      <c r="K449" s="1" t="s">
        <v>220</v>
      </c>
      <c r="L449" s="1" t="s">
        <v>218</v>
      </c>
      <c r="M449" s="1"/>
      <c r="N449" s="1"/>
      <c r="O449" s="31">
        <v>3</v>
      </c>
      <c r="P449" s="31">
        <v>2</v>
      </c>
      <c r="Q449" s="32">
        <v>2000</v>
      </c>
    </row>
    <row r="450" spans="1:17" x14ac:dyDescent="0.25">
      <c r="A450" s="1" t="s">
        <v>232</v>
      </c>
      <c r="B450" s="31">
        <v>51.1</v>
      </c>
      <c r="C450" s="1" t="s">
        <v>20</v>
      </c>
      <c r="D450" s="2">
        <v>42767</v>
      </c>
      <c r="E450" s="2">
        <v>42767</v>
      </c>
      <c r="F450" s="17">
        <v>1600000</v>
      </c>
      <c r="G450" s="17">
        <v>31311.15</v>
      </c>
      <c r="H450" s="1"/>
      <c r="I450" s="1" t="s">
        <v>21</v>
      </c>
      <c r="J450" s="1" t="s">
        <v>18</v>
      </c>
      <c r="K450" s="1" t="s">
        <v>220</v>
      </c>
      <c r="L450" s="1" t="s">
        <v>218</v>
      </c>
      <c r="M450" s="1"/>
      <c r="N450" s="1"/>
      <c r="O450" s="31">
        <v>3</v>
      </c>
      <c r="P450" s="31">
        <v>2</v>
      </c>
      <c r="Q450" s="32">
        <v>2000</v>
      </c>
    </row>
    <row r="451" spans="1:17" x14ac:dyDescent="0.25">
      <c r="A451" s="1" t="s">
        <v>222</v>
      </c>
      <c r="B451" s="31">
        <v>60.5</v>
      </c>
      <c r="C451" s="1" t="s">
        <v>20</v>
      </c>
      <c r="D451" s="2">
        <v>42675</v>
      </c>
      <c r="E451" s="2">
        <v>42675</v>
      </c>
      <c r="F451" s="17">
        <v>1911000</v>
      </c>
      <c r="G451" s="17">
        <v>31586.78</v>
      </c>
      <c r="H451" s="1"/>
      <c r="I451" s="1" t="s">
        <v>21</v>
      </c>
      <c r="J451" s="1" t="s">
        <v>22</v>
      </c>
      <c r="K451" s="1" t="s">
        <v>220</v>
      </c>
      <c r="L451" s="1" t="s">
        <v>218</v>
      </c>
      <c r="M451" s="1"/>
      <c r="N451" s="1" t="s">
        <v>223</v>
      </c>
      <c r="O451" s="31">
        <v>5</v>
      </c>
      <c r="P451" s="31">
        <v>1</v>
      </c>
      <c r="Q451" s="32">
        <v>2016</v>
      </c>
    </row>
    <row r="452" spans="1:17" x14ac:dyDescent="0.25">
      <c r="A452" s="1" t="s">
        <v>226</v>
      </c>
      <c r="B452" s="31">
        <v>58</v>
      </c>
      <c r="C452" s="1" t="s">
        <v>20</v>
      </c>
      <c r="D452" s="2">
        <v>42705</v>
      </c>
      <c r="E452" s="2">
        <v>42705</v>
      </c>
      <c r="F452" s="17">
        <v>1845000</v>
      </c>
      <c r="G452" s="17">
        <v>31810.34</v>
      </c>
      <c r="H452" s="1"/>
      <c r="I452" s="1" t="s">
        <v>21</v>
      </c>
      <c r="J452" s="1" t="s">
        <v>32</v>
      </c>
      <c r="K452" s="1" t="s">
        <v>220</v>
      </c>
      <c r="L452" s="1" t="s">
        <v>218</v>
      </c>
      <c r="M452" s="1"/>
      <c r="N452" s="1"/>
      <c r="O452" s="31">
        <v>5</v>
      </c>
      <c r="P452" s="31">
        <v>1</v>
      </c>
      <c r="Q452" s="32">
        <v>2002</v>
      </c>
    </row>
    <row r="453" spans="1:17" x14ac:dyDescent="0.25">
      <c r="A453" s="1" t="s">
        <v>233</v>
      </c>
      <c r="B453" s="31">
        <v>45.2</v>
      </c>
      <c r="C453" s="1" t="s">
        <v>20</v>
      </c>
      <c r="D453" s="2">
        <v>42644</v>
      </c>
      <c r="E453" s="2">
        <v>42675</v>
      </c>
      <c r="F453" s="17">
        <v>1450000</v>
      </c>
      <c r="G453" s="17">
        <v>32079.65</v>
      </c>
      <c r="H453" s="1"/>
      <c r="I453" s="1" t="s">
        <v>21</v>
      </c>
      <c r="J453" s="1" t="s">
        <v>22</v>
      </c>
      <c r="K453" s="1" t="s">
        <v>220</v>
      </c>
      <c r="L453" s="1" t="s">
        <v>218</v>
      </c>
      <c r="M453" s="1"/>
      <c r="N453" s="1"/>
      <c r="O453" s="31">
        <v>2</v>
      </c>
      <c r="P453" s="31">
        <v>1</v>
      </c>
      <c r="Q453" s="32">
        <v>2006</v>
      </c>
    </row>
    <row r="454" spans="1:17" x14ac:dyDescent="0.25">
      <c r="A454" s="1" t="s">
        <v>228</v>
      </c>
      <c r="B454" s="31">
        <v>61</v>
      </c>
      <c r="C454" s="1" t="s">
        <v>20</v>
      </c>
      <c r="D454" s="2">
        <v>42644</v>
      </c>
      <c r="E454" s="2">
        <v>42675</v>
      </c>
      <c r="F454" s="17">
        <v>1960000</v>
      </c>
      <c r="G454" s="17">
        <v>32131.15</v>
      </c>
      <c r="H454" s="1"/>
      <c r="I454" s="1" t="s">
        <v>21</v>
      </c>
      <c r="J454" s="1" t="s">
        <v>22</v>
      </c>
      <c r="K454" s="1" t="s">
        <v>220</v>
      </c>
      <c r="L454" s="1" t="s">
        <v>218</v>
      </c>
      <c r="M454" s="1"/>
      <c r="N454" s="1" t="s">
        <v>75</v>
      </c>
      <c r="O454" s="31">
        <v>2</v>
      </c>
      <c r="P454" s="31">
        <v>2</v>
      </c>
      <c r="Q454" s="32">
        <v>2009</v>
      </c>
    </row>
    <row r="455" spans="1:17" x14ac:dyDescent="0.25">
      <c r="A455" s="1" t="s">
        <v>228</v>
      </c>
      <c r="B455" s="31">
        <v>61</v>
      </c>
      <c r="C455" s="1" t="s">
        <v>20</v>
      </c>
      <c r="D455" s="2">
        <v>42644</v>
      </c>
      <c r="E455" s="2">
        <v>42675</v>
      </c>
      <c r="F455" s="17">
        <v>1960000</v>
      </c>
      <c r="G455" s="17">
        <v>32131.15</v>
      </c>
      <c r="H455" s="1"/>
      <c r="I455" s="1" t="s">
        <v>21</v>
      </c>
      <c r="J455" s="1" t="s">
        <v>22</v>
      </c>
      <c r="K455" s="1" t="s">
        <v>220</v>
      </c>
      <c r="L455" s="1" t="s">
        <v>218</v>
      </c>
      <c r="M455" s="1"/>
      <c r="N455" s="1" t="s">
        <v>75</v>
      </c>
      <c r="O455" s="31">
        <v>2</v>
      </c>
      <c r="P455" s="31">
        <v>2</v>
      </c>
      <c r="Q455" s="32">
        <v>2009</v>
      </c>
    </row>
    <row r="456" spans="1:17" x14ac:dyDescent="0.25">
      <c r="A456" s="1" t="s">
        <v>226</v>
      </c>
      <c r="B456" s="31">
        <v>30.4</v>
      </c>
      <c r="C456" s="1" t="s">
        <v>20</v>
      </c>
      <c r="D456" s="2">
        <v>42614</v>
      </c>
      <c r="E456" s="2">
        <v>42644</v>
      </c>
      <c r="F456" s="17">
        <v>1000000</v>
      </c>
      <c r="G456" s="17">
        <v>32894.74</v>
      </c>
      <c r="H456" s="1"/>
      <c r="I456" s="1" t="s">
        <v>21</v>
      </c>
      <c r="J456" s="1" t="s">
        <v>18</v>
      </c>
      <c r="K456" s="1" t="s">
        <v>220</v>
      </c>
      <c r="L456" s="1" t="s">
        <v>218</v>
      </c>
      <c r="M456" s="1"/>
      <c r="N456" s="1"/>
      <c r="O456" s="31">
        <v>1</v>
      </c>
      <c r="P456" s="31">
        <v>1</v>
      </c>
      <c r="Q456" s="32">
        <v>2009</v>
      </c>
    </row>
    <row r="457" spans="1:17" x14ac:dyDescent="0.25">
      <c r="A457" s="1" t="s">
        <v>224</v>
      </c>
      <c r="B457" s="31">
        <v>29.2</v>
      </c>
      <c r="C457" s="1" t="s">
        <v>20</v>
      </c>
      <c r="D457" s="2">
        <v>42614</v>
      </c>
      <c r="E457" s="2">
        <v>42644</v>
      </c>
      <c r="F457" s="17">
        <v>1000000</v>
      </c>
      <c r="G457" s="17">
        <v>34246.58</v>
      </c>
      <c r="H457" s="1"/>
      <c r="I457" s="1" t="s">
        <v>21</v>
      </c>
      <c r="J457" s="1" t="s">
        <v>22</v>
      </c>
      <c r="K457" s="1" t="s">
        <v>220</v>
      </c>
      <c r="L457" s="1" t="s">
        <v>218</v>
      </c>
      <c r="M457" s="1"/>
      <c r="N457" s="1" t="s">
        <v>225</v>
      </c>
      <c r="O457" s="31">
        <v>1</v>
      </c>
      <c r="P457" s="31">
        <v>1</v>
      </c>
      <c r="Q457" s="32">
        <v>2006</v>
      </c>
    </row>
    <row r="458" spans="1:17" x14ac:dyDescent="0.25">
      <c r="A458" s="1" t="s">
        <v>228</v>
      </c>
      <c r="B458" s="31">
        <v>34.799999999999997</v>
      </c>
      <c r="C458" s="1" t="s">
        <v>20</v>
      </c>
      <c r="D458" s="2">
        <v>42736</v>
      </c>
      <c r="E458" s="2">
        <v>42767</v>
      </c>
      <c r="F458" s="17">
        <v>1200000</v>
      </c>
      <c r="G458" s="17">
        <v>34482.76</v>
      </c>
      <c r="H458" s="1"/>
      <c r="I458" s="1" t="s">
        <v>21</v>
      </c>
      <c r="J458" s="1" t="s">
        <v>22</v>
      </c>
      <c r="K458" s="1" t="s">
        <v>220</v>
      </c>
      <c r="L458" s="1" t="s">
        <v>218</v>
      </c>
      <c r="M458" s="1"/>
      <c r="N458" s="1" t="s">
        <v>247</v>
      </c>
      <c r="O458" s="31">
        <v>3</v>
      </c>
      <c r="P458" s="31">
        <v>1</v>
      </c>
      <c r="Q458" s="32">
        <v>2017</v>
      </c>
    </row>
    <row r="459" spans="1:17" x14ac:dyDescent="0.25">
      <c r="A459" s="1" t="s">
        <v>222</v>
      </c>
      <c r="B459" s="31">
        <v>58</v>
      </c>
      <c r="C459" s="1" t="s">
        <v>20</v>
      </c>
      <c r="D459" s="2">
        <v>42675</v>
      </c>
      <c r="E459" s="2">
        <v>42675</v>
      </c>
      <c r="F459" s="17">
        <v>2050000</v>
      </c>
      <c r="G459" s="17">
        <v>35344.83</v>
      </c>
      <c r="H459" s="1"/>
      <c r="I459" s="1" t="s">
        <v>21</v>
      </c>
      <c r="J459" s="1" t="s">
        <v>18</v>
      </c>
      <c r="K459" s="1" t="s">
        <v>220</v>
      </c>
      <c r="L459" s="1" t="s">
        <v>218</v>
      </c>
      <c r="M459" s="1"/>
      <c r="N459" s="1" t="s">
        <v>118</v>
      </c>
      <c r="O459" s="31">
        <v>4</v>
      </c>
      <c r="P459" s="31">
        <v>1</v>
      </c>
      <c r="Q459" s="32">
        <v>2010</v>
      </c>
    </row>
    <row r="460" spans="1:17" x14ac:dyDescent="0.25">
      <c r="A460" s="1" t="s">
        <v>224</v>
      </c>
      <c r="B460" s="31">
        <v>26.9</v>
      </c>
      <c r="C460" s="1" t="s">
        <v>20</v>
      </c>
      <c r="D460" s="2">
        <v>42614</v>
      </c>
      <c r="E460" s="2">
        <v>42644</v>
      </c>
      <c r="F460" s="17">
        <v>1000000</v>
      </c>
      <c r="G460" s="17">
        <v>37174.720000000001</v>
      </c>
      <c r="H460" s="1"/>
      <c r="I460" s="1" t="s">
        <v>21</v>
      </c>
      <c r="J460" s="1" t="s">
        <v>22</v>
      </c>
      <c r="K460" s="1" t="s">
        <v>220</v>
      </c>
      <c r="L460" s="1" t="s">
        <v>218</v>
      </c>
      <c r="M460" s="1"/>
      <c r="N460" s="1" t="s">
        <v>225</v>
      </c>
      <c r="O460" s="31">
        <v>1</v>
      </c>
      <c r="P460" s="31">
        <v>1</v>
      </c>
      <c r="Q460" s="32">
        <v>2006</v>
      </c>
    </row>
    <row r="461" spans="1:17" s="9" customFormat="1" ht="15.75" thickBot="1" x14ac:dyDescent="0.3">
      <c r="A461" s="25"/>
      <c r="B461" s="33"/>
      <c r="C461" s="25"/>
      <c r="D461" s="25"/>
      <c r="E461" s="25"/>
      <c r="F461" s="26"/>
      <c r="G461" s="26">
        <f>SUM(G350:G460)/111</f>
        <v>24282.314324324318</v>
      </c>
      <c r="H461" s="25"/>
      <c r="I461" s="25"/>
      <c r="J461" s="25"/>
      <c r="K461" s="25"/>
      <c r="L461" s="25"/>
      <c r="M461" s="25"/>
      <c r="N461" s="25"/>
      <c r="O461" s="33"/>
      <c r="P461" s="33"/>
      <c r="Q461" s="34"/>
    </row>
    <row r="462" spans="1:17" s="6" customFormat="1" x14ac:dyDescent="0.25">
      <c r="A462" s="4" t="s">
        <v>252</v>
      </c>
      <c r="B462" s="35"/>
      <c r="C462" s="5"/>
      <c r="D462" s="5"/>
      <c r="E462" s="5"/>
      <c r="F462" s="19"/>
      <c r="G462" s="19"/>
      <c r="H462" s="5"/>
      <c r="I462" s="5"/>
      <c r="J462" s="5"/>
      <c r="K462" s="5"/>
      <c r="L462" s="5"/>
      <c r="M462" s="5"/>
      <c r="N462" s="5"/>
      <c r="O462" s="35"/>
      <c r="P462" s="35"/>
      <c r="Q462" s="36"/>
    </row>
    <row r="463" spans="1:17" x14ac:dyDescent="0.25">
      <c r="A463" s="1" t="s">
        <v>261</v>
      </c>
      <c r="B463" s="31">
        <v>41.2</v>
      </c>
      <c r="C463" s="1" t="s">
        <v>20</v>
      </c>
      <c r="D463" s="2">
        <v>42736</v>
      </c>
      <c r="E463" s="2">
        <v>42767</v>
      </c>
      <c r="F463" s="17">
        <v>1030000</v>
      </c>
      <c r="G463" s="17">
        <v>25000</v>
      </c>
      <c r="H463" s="1"/>
      <c r="I463" s="1" t="s">
        <v>21</v>
      </c>
      <c r="J463" s="1" t="s">
        <v>22</v>
      </c>
      <c r="K463" s="1"/>
      <c r="L463" s="1" t="s">
        <v>252</v>
      </c>
      <c r="M463" s="1"/>
      <c r="N463" s="1"/>
      <c r="O463" s="31">
        <v>9</v>
      </c>
      <c r="P463" s="31">
        <v>1</v>
      </c>
      <c r="Q463" s="32">
        <v>2016</v>
      </c>
    </row>
    <row r="464" spans="1:17" x14ac:dyDescent="0.25">
      <c r="A464" s="1" t="s">
        <v>271</v>
      </c>
      <c r="B464" s="31">
        <v>32.299999999999997</v>
      </c>
      <c r="C464" s="1" t="s">
        <v>20</v>
      </c>
      <c r="D464" s="2">
        <v>42705</v>
      </c>
      <c r="E464" s="2">
        <v>42705</v>
      </c>
      <c r="F464" s="17">
        <v>810000</v>
      </c>
      <c r="G464" s="17">
        <v>25077.4</v>
      </c>
      <c r="H464" s="1"/>
      <c r="I464" s="1" t="s">
        <v>21</v>
      </c>
      <c r="J464" s="1" t="s">
        <v>32</v>
      </c>
      <c r="K464" s="1"/>
      <c r="L464" s="1" t="s">
        <v>252</v>
      </c>
      <c r="M464" s="1"/>
      <c r="N464" s="1"/>
      <c r="O464" s="31">
        <v>1</v>
      </c>
      <c r="P464" s="31">
        <v>1</v>
      </c>
      <c r="Q464" s="32">
        <v>2012</v>
      </c>
    </row>
    <row r="465" spans="1:17" x14ac:dyDescent="0.25">
      <c r="A465" s="1" t="s">
        <v>271</v>
      </c>
      <c r="B465" s="31">
        <v>43.6</v>
      </c>
      <c r="C465" s="1" t="s">
        <v>20</v>
      </c>
      <c r="D465" s="2">
        <v>42705</v>
      </c>
      <c r="E465" s="2">
        <v>42705</v>
      </c>
      <c r="F465" s="17">
        <v>1100000</v>
      </c>
      <c r="G465" s="17">
        <v>25229.360000000001</v>
      </c>
      <c r="H465" s="1"/>
      <c r="I465" s="1" t="s">
        <v>21</v>
      </c>
      <c r="J465" s="1" t="s">
        <v>32</v>
      </c>
      <c r="K465" s="1"/>
      <c r="L465" s="1" t="s">
        <v>252</v>
      </c>
      <c r="M465" s="1"/>
      <c r="N465" s="1" t="s">
        <v>258</v>
      </c>
      <c r="O465" s="31">
        <v>6</v>
      </c>
      <c r="P465" s="31">
        <v>2</v>
      </c>
      <c r="Q465" s="32">
        <v>2000</v>
      </c>
    </row>
    <row r="466" spans="1:17" x14ac:dyDescent="0.25">
      <c r="A466" s="1" t="s">
        <v>271</v>
      </c>
      <c r="B466" s="31">
        <v>43.6</v>
      </c>
      <c r="C466" s="1" t="s">
        <v>20</v>
      </c>
      <c r="D466" s="2">
        <v>42705</v>
      </c>
      <c r="E466" s="2">
        <v>42705</v>
      </c>
      <c r="F466" s="17">
        <v>1100000</v>
      </c>
      <c r="G466" s="17">
        <v>25229.360000000001</v>
      </c>
      <c r="H466" s="1"/>
      <c r="I466" s="1" t="s">
        <v>21</v>
      </c>
      <c r="J466" s="1" t="s">
        <v>32</v>
      </c>
      <c r="K466" s="1"/>
      <c r="L466" s="1" t="s">
        <v>252</v>
      </c>
      <c r="M466" s="1"/>
      <c r="N466" s="1" t="s">
        <v>258</v>
      </c>
      <c r="O466" s="31">
        <v>6</v>
      </c>
      <c r="P466" s="31">
        <v>2</v>
      </c>
      <c r="Q466" s="32">
        <v>2000</v>
      </c>
    </row>
    <row r="467" spans="1:17" x14ac:dyDescent="0.25">
      <c r="A467" s="1" t="s">
        <v>261</v>
      </c>
      <c r="B467" s="31">
        <v>56.4</v>
      </c>
      <c r="C467" s="1" t="s">
        <v>20</v>
      </c>
      <c r="D467" s="2">
        <v>42675</v>
      </c>
      <c r="E467" s="2">
        <v>42675</v>
      </c>
      <c r="F467" s="17">
        <v>1424000</v>
      </c>
      <c r="G467" s="17">
        <v>25248.23</v>
      </c>
      <c r="H467" s="1"/>
      <c r="I467" s="1" t="s">
        <v>21</v>
      </c>
      <c r="J467" s="1" t="s">
        <v>22</v>
      </c>
      <c r="K467" s="1"/>
      <c r="L467" s="1" t="s">
        <v>252</v>
      </c>
      <c r="M467" s="1"/>
      <c r="N467" s="1"/>
      <c r="O467" s="31">
        <v>6</v>
      </c>
      <c r="P467" s="31">
        <v>2</v>
      </c>
      <c r="Q467" s="32">
        <v>2016</v>
      </c>
    </row>
    <row r="468" spans="1:17" x14ac:dyDescent="0.25">
      <c r="A468" s="1" t="s">
        <v>261</v>
      </c>
      <c r="B468" s="31">
        <v>56.4</v>
      </c>
      <c r="C468" s="1" t="s">
        <v>20</v>
      </c>
      <c r="D468" s="2">
        <v>42675</v>
      </c>
      <c r="E468" s="2">
        <v>42675</v>
      </c>
      <c r="F468" s="17">
        <v>1424000</v>
      </c>
      <c r="G468" s="17">
        <v>25248.23</v>
      </c>
      <c r="H468" s="1"/>
      <c r="I468" s="1" t="s">
        <v>21</v>
      </c>
      <c r="J468" s="1" t="s">
        <v>22</v>
      </c>
      <c r="K468" s="1"/>
      <c r="L468" s="1" t="s">
        <v>252</v>
      </c>
      <c r="M468" s="1"/>
      <c r="N468" s="1"/>
      <c r="O468" s="31">
        <v>6</v>
      </c>
      <c r="P468" s="31">
        <v>2</v>
      </c>
      <c r="Q468" s="32">
        <v>2016</v>
      </c>
    </row>
    <row r="469" spans="1:17" x14ac:dyDescent="0.25">
      <c r="A469" s="1" t="s">
        <v>256</v>
      </c>
      <c r="B469" s="31">
        <v>54</v>
      </c>
      <c r="C469" s="1" t="s">
        <v>20</v>
      </c>
      <c r="D469" s="2">
        <v>42675</v>
      </c>
      <c r="E469" s="2">
        <v>42675</v>
      </c>
      <c r="F469" s="17">
        <v>1376000</v>
      </c>
      <c r="G469" s="17">
        <v>25481.48</v>
      </c>
      <c r="H469" s="1"/>
      <c r="I469" s="1" t="s">
        <v>21</v>
      </c>
      <c r="J469" s="1" t="s">
        <v>32</v>
      </c>
      <c r="K469" s="1"/>
      <c r="L469" s="1" t="s">
        <v>252</v>
      </c>
      <c r="M469" s="1"/>
      <c r="N469" s="1" t="s">
        <v>257</v>
      </c>
      <c r="O469" s="31">
        <v>2</v>
      </c>
      <c r="P469" s="31">
        <v>2</v>
      </c>
      <c r="Q469" s="32">
        <v>2000</v>
      </c>
    </row>
    <row r="470" spans="1:17" x14ac:dyDescent="0.25">
      <c r="A470" s="1" t="s">
        <v>256</v>
      </c>
      <c r="B470" s="31">
        <v>54</v>
      </c>
      <c r="C470" s="1" t="s">
        <v>20</v>
      </c>
      <c r="D470" s="2">
        <v>42675</v>
      </c>
      <c r="E470" s="2">
        <v>42675</v>
      </c>
      <c r="F470" s="17">
        <v>1376000</v>
      </c>
      <c r="G470" s="17">
        <v>25481.48</v>
      </c>
      <c r="H470" s="1"/>
      <c r="I470" s="1" t="s">
        <v>21</v>
      </c>
      <c r="J470" s="1" t="s">
        <v>32</v>
      </c>
      <c r="K470" s="1"/>
      <c r="L470" s="1" t="s">
        <v>252</v>
      </c>
      <c r="M470" s="1"/>
      <c r="N470" s="1" t="s">
        <v>257</v>
      </c>
      <c r="O470" s="31">
        <v>2</v>
      </c>
      <c r="P470" s="31">
        <v>2</v>
      </c>
      <c r="Q470" s="32">
        <v>2000</v>
      </c>
    </row>
    <row r="471" spans="1:17" x14ac:dyDescent="0.25">
      <c r="A471" s="1" t="s">
        <v>270</v>
      </c>
      <c r="B471" s="31">
        <v>103.4</v>
      </c>
      <c r="C471" s="1" t="s">
        <v>20</v>
      </c>
      <c r="D471" s="2">
        <v>42705</v>
      </c>
      <c r="E471" s="2">
        <v>42705</v>
      </c>
      <c r="F471" s="17">
        <v>2640000</v>
      </c>
      <c r="G471" s="17">
        <v>25531.91</v>
      </c>
      <c r="H471" s="1"/>
      <c r="I471" s="1" t="s">
        <v>21</v>
      </c>
      <c r="J471" s="1" t="s">
        <v>32</v>
      </c>
      <c r="K471" s="1"/>
      <c r="L471" s="1" t="s">
        <v>252</v>
      </c>
      <c r="M471" s="1"/>
      <c r="N471" s="1" t="s">
        <v>130</v>
      </c>
      <c r="O471" s="31">
        <v>4</v>
      </c>
      <c r="P471" s="31">
        <v>1</v>
      </c>
      <c r="Q471" s="32">
        <v>2005</v>
      </c>
    </row>
    <row r="472" spans="1:17" x14ac:dyDescent="0.25">
      <c r="A472" s="1" t="s">
        <v>262</v>
      </c>
      <c r="B472" s="31">
        <v>52.6</v>
      </c>
      <c r="C472" s="1" t="s">
        <v>20</v>
      </c>
      <c r="D472" s="2">
        <v>42705</v>
      </c>
      <c r="E472" s="2">
        <v>42705</v>
      </c>
      <c r="F472" s="17">
        <v>1343000</v>
      </c>
      <c r="G472" s="17">
        <v>25532.32</v>
      </c>
      <c r="H472" s="1"/>
      <c r="I472" s="1" t="s">
        <v>21</v>
      </c>
      <c r="J472" s="1" t="s">
        <v>22</v>
      </c>
      <c r="K472" s="1"/>
      <c r="L472" s="1" t="s">
        <v>252</v>
      </c>
      <c r="M472" s="1"/>
      <c r="N472" s="1"/>
      <c r="O472" s="31">
        <v>4</v>
      </c>
      <c r="P472" s="31">
        <v>1</v>
      </c>
      <c r="Q472" s="32">
        <v>2016</v>
      </c>
    </row>
    <row r="473" spans="1:17" x14ac:dyDescent="0.25">
      <c r="A473" s="1" t="s">
        <v>253</v>
      </c>
      <c r="B473" s="31">
        <v>44.6</v>
      </c>
      <c r="C473" s="1" t="s">
        <v>20</v>
      </c>
      <c r="D473" s="2">
        <v>42705</v>
      </c>
      <c r="E473" s="2">
        <v>42705</v>
      </c>
      <c r="F473" s="17">
        <v>1140000</v>
      </c>
      <c r="G473" s="17">
        <v>25560.54</v>
      </c>
      <c r="H473" s="1"/>
      <c r="I473" s="1" t="s">
        <v>21</v>
      </c>
      <c r="J473" s="1" t="s">
        <v>32</v>
      </c>
      <c r="K473" s="1"/>
      <c r="L473" s="1" t="s">
        <v>252</v>
      </c>
      <c r="M473" s="1"/>
      <c r="N473" s="1"/>
      <c r="O473" s="31">
        <v>4</v>
      </c>
      <c r="P473" s="31">
        <v>1</v>
      </c>
      <c r="Q473" s="32">
        <v>2004</v>
      </c>
    </row>
    <row r="474" spans="1:17" x14ac:dyDescent="0.25">
      <c r="A474" s="1" t="s">
        <v>256</v>
      </c>
      <c r="B474" s="31">
        <v>52.8</v>
      </c>
      <c r="C474" s="1" t="s">
        <v>20</v>
      </c>
      <c r="D474" s="2">
        <v>42614</v>
      </c>
      <c r="E474" s="2">
        <v>42644</v>
      </c>
      <c r="F474" s="17">
        <v>1350000</v>
      </c>
      <c r="G474" s="17">
        <v>25568.18</v>
      </c>
      <c r="H474" s="1"/>
      <c r="I474" s="1" t="s">
        <v>21</v>
      </c>
      <c r="J474" s="1" t="s">
        <v>32</v>
      </c>
      <c r="K474" s="1"/>
      <c r="L474" s="1" t="s">
        <v>252</v>
      </c>
      <c r="M474" s="1"/>
      <c r="N474" s="1"/>
      <c r="O474" s="31">
        <v>6</v>
      </c>
      <c r="P474" s="31">
        <v>2</v>
      </c>
      <c r="Q474" s="32">
        <v>2016</v>
      </c>
    </row>
    <row r="475" spans="1:17" x14ac:dyDescent="0.25">
      <c r="A475" s="1" t="s">
        <v>256</v>
      </c>
      <c r="B475" s="31">
        <v>52.8</v>
      </c>
      <c r="C475" s="1" t="s">
        <v>20</v>
      </c>
      <c r="D475" s="2">
        <v>42614</v>
      </c>
      <c r="E475" s="2">
        <v>42644</v>
      </c>
      <c r="F475" s="17">
        <v>1350000</v>
      </c>
      <c r="G475" s="17">
        <v>25568.18</v>
      </c>
      <c r="H475" s="1"/>
      <c r="I475" s="1" t="s">
        <v>21</v>
      </c>
      <c r="J475" s="1" t="s">
        <v>32</v>
      </c>
      <c r="K475" s="1"/>
      <c r="L475" s="1" t="s">
        <v>252</v>
      </c>
      <c r="M475" s="1"/>
      <c r="N475" s="1"/>
      <c r="O475" s="31">
        <v>6</v>
      </c>
      <c r="P475" s="31">
        <v>2</v>
      </c>
      <c r="Q475" s="32">
        <v>2016</v>
      </c>
    </row>
    <row r="476" spans="1:17" x14ac:dyDescent="0.25">
      <c r="A476" s="1" t="s">
        <v>262</v>
      </c>
      <c r="B476" s="31">
        <v>32.799999999999997</v>
      </c>
      <c r="C476" s="1" t="s">
        <v>20</v>
      </c>
      <c r="D476" s="2">
        <v>42705</v>
      </c>
      <c r="E476" s="2">
        <v>42736</v>
      </c>
      <c r="F476" s="17">
        <v>839680</v>
      </c>
      <c r="G476" s="17">
        <v>25600</v>
      </c>
      <c r="H476" s="1"/>
      <c r="I476" s="1" t="s">
        <v>21</v>
      </c>
      <c r="J476" s="1" t="s">
        <v>32</v>
      </c>
      <c r="K476" s="1"/>
      <c r="L476" s="1" t="s">
        <v>252</v>
      </c>
      <c r="M476" s="1"/>
      <c r="N476" s="1"/>
      <c r="O476" s="31">
        <v>2</v>
      </c>
      <c r="P476" s="31">
        <v>2</v>
      </c>
      <c r="Q476" s="32">
        <v>2016</v>
      </c>
    </row>
    <row r="477" spans="1:17" x14ac:dyDescent="0.25">
      <c r="A477" s="1" t="s">
        <v>262</v>
      </c>
      <c r="B477" s="31">
        <v>32.799999999999997</v>
      </c>
      <c r="C477" s="1" t="s">
        <v>20</v>
      </c>
      <c r="D477" s="2">
        <v>42705</v>
      </c>
      <c r="E477" s="2">
        <v>42736</v>
      </c>
      <c r="F477" s="17">
        <v>839680</v>
      </c>
      <c r="G477" s="17">
        <v>25600</v>
      </c>
      <c r="H477" s="1"/>
      <c r="I477" s="1" t="s">
        <v>21</v>
      </c>
      <c r="J477" s="1" t="s">
        <v>32</v>
      </c>
      <c r="K477" s="1"/>
      <c r="L477" s="1" t="s">
        <v>252</v>
      </c>
      <c r="M477" s="1"/>
      <c r="N477" s="1"/>
      <c r="O477" s="31">
        <v>2</v>
      </c>
      <c r="P477" s="31">
        <v>2</v>
      </c>
      <c r="Q477" s="32">
        <v>2016</v>
      </c>
    </row>
    <row r="478" spans="1:17" x14ac:dyDescent="0.25">
      <c r="A478" s="1" t="s">
        <v>262</v>
      </c>
      <c r="B478" s="31">
        <v>62.7</v>
      </c>
      <c r="C478" s="1" t="s">
        <v>20</v>
      </c>
      <c r="D478" s="2">
        <v>42767</v>
      </c>
      <c r="E478" s="2">
        <v>42767</v>
      </c>
      <c r="F478" s="17">
        <v>1605200</v>
      </c>
      <c r="G478" s="17">
        <v>25601.279999999999</v>
      </c>
      <c r="H478" s="1"/>
      <c r="I478" s="1" t="s">
        <v>21</v>
      </c>
      <c r="J478" s="1" t="s">
        <v>22</v>
      </c>
      <c r="K478" s="1"/>
      <c r="L478" s="1" t="s">
        <v>252</v>
      </c>
      <c r="M478" s="1"/>
      <c r="N478" s="1"/>
      <c r="O478" s="31">
        <v>2</v>
      </c>
      <c r="P478" s="31">
        <v>1</v>
      </c>
      <c r="Q478" s="32">
        <v>2016</v>
      </c>
    </row>
    <row r="479" spans="1:17" x14ac:dyDescent="0.25">
      <c r="A479" s="1" t="s">
        <v>268</v>
      </c>
      <c r="B479" s="31">
        <v>61.7</v>
      </c>
      <c r="C479" s="1" t="s">
        <v>20</v>
      </c>
      <c r="D479" s="2">
        <v>42644</v>
      </c>
      <c r="E479" s="2">
        <v>42644</v>
      </c>
      <c r="F479" s="17">
        <v>1580000</v>
      </c>
      <c r="G479" s="17">
        <v>25607.78</v>
      </c>
      <c r="H479" s="1"/>
      <c r="I479" s="1" t="s">
        <v>21</v>
      </c>
      <c r="J479" s="1" t="s">
        <v>22</v>
      </c>
      <c r="K479" s="1"/>
      <c r="L479" s="1" t="s">
        <v>252</v>
      </c>
      <c r="M479" s="1"/>
      <c r="N479" s="1" t="s">
        <v>269</v>
      </c>
      <c r="O479" s="31">
        <v>2</v>
      </c>
      <c r="P479" s="31">
        <v>2</v>
      </c>
      <c r="Q479" s="32">
        <v>2016</v>
      </c>
    </row>
    <row r="480" spans="1:17" x14ac:dyDescent="0.25">
      <c r="A480" s="1" t="s">
        <v>268</v>
      </c>
      <c r="B480" s="31">
        <v>61.7</v>
      </c>
      <c r="C480" s="1" t="s">
        <v>20</v>
      </c>
      <c r="D480" s="2">
        <v>42644</v>
      </c>
      <c r="E480" s="2">
        <v>42644</v>
      </c>
      <c r="F480" s="17">
        <v>1580000</v>
      </c>
      <c r="G480" s="17">
        <v>25607.78</v>
      </c>
      <c r="H480" s="1"/>
      <c r="I480" s="1" t="s">
        <v>21</v>
      </c>
      <c r="J480" s="1" t="s">
        <v>22</v>
      </c>
      <c r="K480" s="1"/>
      <c r="L480" s="1" t="s">
        <v>252</v>
      </c>
      <c r="M480" s="1"/>
      <c r="N480" s="1" t="s">
        <v>269</v>
      </c>
      <c r="O480" s="31">
        <v>2</v>
      </c>
      <c r="P480" s="31">
        <v>2</v>
      </c>
      <c r="Q480" s="32">
        <v>2016</v>
      </c>
    </row>
    <row r="481" spans="1:17" x14ac:dyDescent="0.25">
      <c r="A481" s="1" t="s">
        <v>264</v>
      </c>
      <c r="B481" s="31">
        <v>30</v>
      </c>
      <c r="C481" s="1" t="s">
        <v>20</v>
      </c>
      <c r="D481" s="2">
        <v>42705</v>
      </c>
      <c r="E481" s="2">
        <v>42705</v>
      </c>
      <c r="F481" s="17">
        <v>770000</v>
      </c>
      <c r="G481" s="17">
        <v>25666.67</v>
      </c>
      <c r="H481" s="1"/>
      <c r="I481" s="1" t="s">
        <v>21</v>
      </c>
      <c r="J481" s="1" t="s">
        <v>32</v>
      </c>
      <c r="K481" s="1"/>
      <c r="L481" s="1" t="s">
        <v>252</v>
      </c>
      <c r="M481" s="1"/>
      <c r="N481" s="1" t="s">
        <v>265</v>
      </c>
      <c r="O481" s="31">
        <v>5</v>
      </c>
      <c r="P481" s="31">
        <v>2</v>
      </c>
      <c r="Q481" s="32">
        <v>2006</v>
      </c>
    </row>
    <row r="482" spans="1:17" x14ac:dyDescent="0.25">
      <c r="A482" s="1" t="s">
        <v>264</v>
      </c>
      <c r="B482" s="31">
        <v>30</v>
      </c>
      <c r="C482" s="1" t="s">
        <v>20</v>
      </c>
      <c r="D482" s="2">
        <v>42705</v>
      </c>
      <c r="E482" s="2">
        <v>42705</v>
      </c>
      <c r="F482" s="17">
        <v>770000</v>
      </c>
      <c r="G482" s="17">
        <v>25666.67</v>
      </c>
      <c r="H482" s="1"/>
      <c r="I482" s="1" t="s">
        <v>21</v>
      </c>
      <c r="J482" s="1" t="s">
        <v>32</v>
      </c>
      <c r="K482" s="1"/>
      <c r="L482" s="1" t="s">
        <v>252</v>
      </c>
      <c r="M482" s="1"/>
      <c r="N482" s="1" t="s">
        <v>265</v>
      </c>
      <c r="O482" s="31">
        <v>5</v>
      </c>
      <c r="P482" s="31">
        <v>2</v>
      </c>
      <c r="Q482" s="32">
        <v>2006</v>
      </c>
    </row>
    <row r="483" spans="1:17" x14ac:dyDescent="0.25">
      <c r="A483" s="1" t="s">
        <v>271</v>
      </c>
      <c r="B483" s="31">
        <v>33.799999999999997</v>
      </c>
      <c r="C483" s="1" t="s">
        <v>20</v>
      </c>
      <c r="D483" s="2">
        <v>42675</v>
      </c>
      <c r="E483" s="2">
        <v>42675</v>
      </c>
      <c r="F483" s="17">
        <v>870000</v>
      </c>
      <c r="G483" s="17">
        <v>25739.65</v>
      </c>
      <c r="H483" s="1"/>
      <c r="I483" s="1" t="s">
        <v>21</v>
      </c>
      <c r="J483" s="1" t="s">
        <v>32</v>
      </c>
      <c r="K483" s="1"/>
      <c r="L483" s="1" t="s">
        <v>252</v>
      </c>
      <c r="M483" s="1"/>
      <c r="N483" s="1" t="s">
        <v>257</v>
      </c>
      <c r="O483" s="31">
        <v>3</v>
      </c>
      <c r="P483" s="31">
        <v>2</v>
      </c>
      <c r="Q483" s="32">
        <v>2005</v>
      </c>
    </row>
    <row r="484" spans="1:17" x14ac:dyDescent="0.25">
      <c r="A484" s="1" t="s">
        <v>271</v>
      </c>
      <c r="B484" s="31">
        <v>33.799999999999997</v>
      </c>
      <c r="C484" s="1" t="s">
        <v>20</v>
      </c>
      <c r="D484" s="2">
        <v>42675</v>
      </c>
      <c r="E484" s="2">
        <v>42675</v>
      </c>
      <c r="F484" s="17">
        <v>870000</v>
      </c>
      <c r="G484" s="17">
        <v>25739.65</v>
      </c>
      <c r="H484" s="1"/>
      <c r="I484" s="1" t="s">
        <v>21</v>
      </c>
      <c r="J484" s="1" t="s">
        <v>32</v>
      </c>
      <c r="K484" s="1"/>
      <c r="L484" s="1" t="s">
        <v>252</v>
      </c>
      <c r="M484" s="1"/>
      <c r="N484" s="1" t="s">
        <v>257</v>
      </c>
      <c r="O484" s="31">
        <v>3</v>
      </c>
      <c r="P484" s="31">
        <v>2</v>
      </c>
      <c r="Q484" s="32">
        <v>2005</v>
      </c>
    </row>
    <row r="485" spans="1:17" x14ac:dyDescent="0.25">
      <c r="A485" s="1" t="s">
        <v>271</v>
      </c>
      <c r="B485" s="31">
        <v>62</v>
      </c>
      <c r="C485" s="1" t="s">
        <v>20</v>
      </c>
      <c r="D485" s="2">
        <v>42705</v>
      </c>
      <c r="E485" s="2">
        <v>42736</v>
      </c>
      <c r="F485" s="17">
        <v>1600000</v>
      </c>
      <c r="G485" s="17">
        <v>25806.45</v>
      </c>
      <c r="H485" s="1"/>
      <c r="I485" s="1" t="s">
        <v>21</v>
      </c>
      <c r="J485" s="1" t="s">
        <v>32</v>
      </c>
      <c r="K485" s="1"/>
      <c r="L485" s="1" t="s">
        <v>252</v>
      </c>
      <c r="M485" s="1"/>
      <c r="N485" s="1" t="s">
        <v>257</v>
      </c>
      <c r="O485" s="31">
        <v>1</v>
      </c>
      <c r="P485" s="31">
        <v>2</v>
      </c>
      <c r="Q485" s="32">
        <v>2004</v>
      </c>
    </row>
    <row r="486" spans="1:17" x14ac:dyDescent="0.25">
      <c r="A486" s="1" t="s">
        <v>271</v>
      </c>
      <c r="B486" s="31">
        <v>62</v>
      </c>
      <c r="C486" s="1" t="s">
        <v>20</v>
      </c>
      <c r="D486" s="2">
        <v>42705</v>
      </c>
      <c r="E486" s="2">
        <v>42736</v>
      </c>
      <c r="F486" s="17">
        <v>1600000</v>
      </c>
      <c r="G486" s="17">
        <v>25806.45</v>
      </c>
      <c r="H486" s="1"/>
      <c r="I486" s="1" t="s">
        <v>21</v>
      </c>
      <c r="J486" s="1" t="s">
        <v>32</v>
      </c>
      <c r="K486" s="1"/>
      <c r="L486" s="1" t="s">
        <v>252</v>
      </c>
      <c r="M486" s="1"/>
      <c r="N486" s="1" t="s">
        <v>257</v>
      </c>
      <c r="O486" s="31">
        <v>1</v>
      </c>
      <c r="P486" s="31">
        <v>2</v>
      </c>
      <c r="Q486" s="32">
        <v>2004</v>
      </c>
    </row>
    <row r="487" spans="1:17" x14ac:dyDescent="0.25">
      <c r="A487" s="1" t="s">
        <v>266</v>
      </c>
      <c r="B487" s="31">
        <v>58.7</v>
      </c>
      <c r="C487" s="1" t="s">
        <v>20</v>
      </c>
      <c r="D487" s="2">
        <v>42736</v>
      </c>
      <c r="E487" s="2">
        <v>42736</v>
      </c>
      <c r="F487" s="17">
        <v>1517123.97</v>
      </c>
      <c r="G487" s="17">
        <v>25845.38</v>
      </c>
      <c r="H487" s="1"/>
      <c r="I487" s="1" t="s">
        <v>21</v>
      </c>
      <c r="J487" s="1" t="s">
        <v>32</v>
      </c>
      <c r="K487" s="1"/>
      <c r="L487" s="1" t="s">
        <v>252</v>
      </c>
      <c r="M487" s="1"/>
      <c r="N487" s="1" t="s">
        <v>254</v>
      </c>
      <c r="O487" s="31">
        <v>8</v>
      </c>
      <c r="P487" s="31">
        <v>1</v>
      </c>
      <c r="Q487" s="32">
        <v>2000</v>
      </c>
    </row>
    <row r="488" spans="1:17" x14ac:dyDescent="0.25">
      <c r="A488" s="1" t="s">
        <v>275</v>
      </c>
      <c r="B488" s="31">
        <v>52.2</v>
      </c>
      <c r="C488" s="1" t="s">
        <v>20</v>
      </c>
      <c r="D488" s="2">
        <v>42675</v>
      </c>
      <c r="E488" s="2">
        <v>42675</v>
      </c>
      <c r="F488" s="17">
        <v>1350000</v>
      </c>
      <c r="G488" s="17">
        <v>25862.07</v>
      </c>
      <c r="H488" s="1"/>
      <c r="I488" s="1" t="s">
        <v>21</v>
      </c>
      <c r="J488" s="1" t="s">
        <v>32</v>
      </c>
      <c r="K488" s="1"/>
      <c r="L488" s="1" t="s">
        <v>252</v>
      </c>
      <c r="M488" s="1"/>
      <c r="N488" s="1" t="s">
        <v>269</v>
      </c>
      <c r="O488" s="31">
        <v>1</v>
      </c>
      <c r="P488" s="31">
        <v>1</v>
      </c>
      <c r="Q488" s="32">
        <v>2009</v>
      </c>
    </row>
    <row r="489" spans="1:17" x14ac:dyDescent="0.25">
      <c r="A489" s="1" t="s">
        <v>273</v>
      </c>
      <c r="B489" s="31">
        <v>35.799999999999997</v>
      </c>
      <c r="C489" s="1" t="s">
        <v>20</v>
      </c>
      <c r="D489" s="2">
        <v>42705</v>
      </c>
      <c r="E489" s="2">
        <v>42705</v>
      </c>
      <c r="F489" s="17">
        <v>927000</v>
      </c>
      <c r="G489" s="17">
        <v>25893.85</v>
      </c>
      <c r="H489" s="1"/>
      <c r="I489" s="1" t="s">
        <v>21</v>
      </c>
      <c r="J489" s="1" t="s">
        <v>32</v>
      </c>
      <c r="K489" s="1"/>
      <c r="L489" s="1" t="s">
        <v>252</v>
      </c>
      <c r="M489" s="1"/>
      <c r="N489" s="1"/>
      <c r="O489" s="31">
        <v>1</v>
      </c>
      <c r="P489" s="31">
        <v>1</v>
      </c>
      <c r="Q489" s="32">
        <v>1999</v>
      </c>
    </row>
    <row r="490" spans="1:17" x14ac:dyDescent="0.25">
      <c r="A490" s="1" t="s">
        <v>271</v>
      </c>
      <c r="B490" s="31">
        <v>47.8</v>
      </c>
      <c r="C490" s="1" t="s">
        <v>20</v>
      </c>
      <c r="D490" s="2">
        <v>42705</v>
      </c>
      <c r="E490" s="2">
        <v>42705</v>
      </c>
      <c r="F490" s="17">
        <v>1240000</v>
      </c>
      <c r="G490" s="17">
        <v>25941.42</v>
      </c>
      <c r="H490" s="1"/>
      <c r="I490" s="1" t="s">
        <v>21</v>
      </c>
      <c r="J490" s="1" t="s">
        <v>22</v>
      </c>
      <c r="K490" s="1"/>
      <c r="L490" s="1" t="s">
        <v>252</v>
      </c>
      <c r="M490" s="1"/>
      <c r="N490" s="1"/>
      <c r="O490" s="31">
        <v>2</v>
      </c>
      <c r="P490" s="31">
        <v>1</v>
      </c>
      <c r="Q490" s="32">
        <v>2016</v>
      </c>
    </row>
    <row r="491" spans="1:17" x14ac:dyDescent="0.25">
      <c r="A491" s="1" t="s">
        <v>276</v>
      </c>
      <c r="B491" s="31">
        <v>134.69999999999999</v>
      </c>
      <c r="C491" s="1" t="s">
        <v>20</v>
      </c>
      <c r="D491" s="2">
        <v>42736</v>
      </c>
      <c r="E491" s="2">
        <v>42767</v>
      </c>
      <c r="F491" s="17">
        <v>3500000</v>
      </c>
      <c r="G491" s="17">
        <v>25983.67</v>
      </c>
      <c r="H491" s="1"/>
      <c r="I491" s="1" t="s">
        <v>21</v>
      </c>
      <c r="J491" s="1" t="s">
        <v>32</v>
      </c>
      <c r="K491" s="1"/>
      <c r="L491" s="1" t="s">
        <v>252</v>
      </c>
      <c r="M491" s="1"/>
      <c r="N491" s="1"/>
      <c r="O491" s="31" t="s">
        <v>285</v>
      </c>
      <c r="P491" s="31">
        <v>1</v>
      </c>
      <c r="Q491" s="32">
        <v>2007</v>
      </c>
    </row>
    <row r="492" spans="1:17" x14ac:dyDescent="0.25">
      <c r="A492" s="1" t="s">
        <v>266</v>
      </c>
      <c r="B492" s="31">
        <v>57.7</v>
      </c>
      <c r="C492" s="1" t="s">
        <v>20</v>
      </c>
      <c r="D492" s="2">
        <v>42767</v>
      </c>
      <c r="E492" s="2">
        <v>42767</v>
      </c>
      <c r="F492" s="17">
        <v>1500000</v>
      </c>
      <c r="G492" s="17">
        <v>25996.53</v>
      </c>
      <c r="H492" s="1"/>
      <c r="I492" s="1" t="s">
        <v>21</v>
      </c>
      <c r="J492" s="1" t="s">
        <v>32</v>
      </c>
      <c r="K492" s="1"/>
      <c r="L492" s="1" t="s">
        <v>252</v>
      </c>
      <c r="M492" s="1"/>
      <c r="N492" s="1" t="s">
        <v>254</v>
      </c>
      <c r="O492" s="31">
        <v>4</v>
      </c>
      <c r="P492" s="31">
        <v>1</v>
      </c>
      <c r="Q492" s="32">
        <v>2014</v>
      </c>
    </row>
    <row r="493" spans="1:17" x14ac:dyDescent="0.25">
      <c r="A493" s="1" t="s">
        <v>262</v>
      </c>
      <c r="B493" s="31">
        <v>32.6</v>
      </c>
      <c r="C493" s="1" t="s">
        <v>20</v>
      </c>
      <c r="D493" s="2">
        <v>42705</v>
      </c>
      <c r="E493" s="2">
        <v>42705</v>
      </c>
      <c r="F493" s="17">
        <v>847500</v>
      </c>
      <c r="G493" s="17">
        <v>25996.93</v>
      </c>
      <c r="H493" s="1"/>
      <c r="I493" s="1" t="s">
        <v>21</v>
      </c>
      <c r="J493" s="1" t="s">
        <v>22</v>
      </c>
      <c r="K493" s="1"/>
      <c r="L493" s="1" t="s">
        <v>252</v>
      </c>
      <c r="M493" s="1"/>
      <c r="N493" s="1"/>
      <c r="O493" s="31">
        <v>9</v>
      </c>
      <c r="P493" s="31">
        <v>1</v>
      </c>
      <c r="Q493" s="32">
        <v>2016</v>
      </c>
    </row>
    <row r="494" spans="1:17" x14ac:dyDescent="0.25">
      <c r="A494" s="1" t="s">
        <v>262</v>
      </c>
      <c r="B494" s="31">
        <v>30.1</v>
      </c>
      <c r="C494" s="1" t="s">
        <v>20</v>
      </c>
      <c r="D494" s="2">
        <v>42705</v>
      </c>
      <c r="E494" s="2">
        <v>42705</v>
      </c>
      <c r="F494" s="17">
        <v>782600</v>
      </c>
      <c r="G494" s="17">
        <v>26000</v>
      </c>
      <c r="H494" s="1"/>
      <c r="I494" s="1" t="s">
        <v>21</v>
      </c>
      <c r="J494" s="1" t="s">
        <v>22</v>
      </c>
      <c r="K494" s="1"/>
      <c r="L494" s="1" t="s">
        <v>252</v>
      </c>
      <c r="M494" s="1"/>
      <c r="N494" s="1"/>
      <c r="O494" s="31">
        <v>7</v>
      </c>
      <c r="P494" s="31">
        <v>1</v>
      </c>
      <c r="Q494" s="32">
        <v>2016</v>
      </c>
    </row>
    <row r="495" spans="1:17" x14ac:dyDescent="0.25">
      <c r="A495" s="1" t="s">
        <v>284</v>
      </c>
      <c r="B495" s="31">
        <v>36</v>
      </c>
      <c r="C495" s="1" t="s">
        <v>20</v>
      </c>
      <c r="D495" s="2">
        <v>42736</v>
      </c>
      <c r="E495" s="2">
        <v>42736</v>
      </c>
      <c r="F495" s="17">
        <v>936000</v>
      </c>
      <c r="G495" s="17">
        <v>26000</v>
      </c>
      <c r="H495" s="1"/>
      <c r="I495" s="1" t="s">
        <v>21</v>
      </c>
      <c r="J495" s="1" t="s">
        <v>32</v>
      </c>
      <c r="K495" s="1"/>
      <c r="L495" s="1" t="s">
        <v>252</v>
      </c>
      <c r="M495" s="1"/>
      <c r="N495" s="1" t="s">
        <v>174</v>
      </c>
      <c r="O495" s="31">
        <v>7</v>
      </c>
      <c r="P495" s="31">
        <v>2</v>
      </c>
      <c r="Q495" s="32">
        <v>2010</v>
      </c>
    </row>
    <row r="496" spans="1:17" x14ac:dyDescent="0.25">
      <c r="A496" s="1" t="s">
        <v>284</v>
      </c>
      <c r="B496" s="31">
        <v>36</v>
      </c>
      <c r="C496" s="1" t="s">
        <v>20</v>
      </c>
      <c r="D496" s="2">
        <v>42736</v>
      </c>
      <c r="E496" s="2">
        <v>42736</v>
      </c>
      <c r="F496" s="17">
        <v>936000</v>
      </c>
      <c r="G496" s="17">
        <v>26000</v>
      </c>
      <c r="H496" s="1"/>
      <c r="I496" s="1" t="s">
        <v>21</v>
      </c>
      <c r="J496" s="1" t="s">
        <v>32</v>
      </c>
      <c r="K496" s="1"/>
      <c r="L496" s="1" t="s">
        <v>252</v>
      </c>
      <c r="M496" s="1"/>
      <c r="N496" s="1" t="s">
        <v>174</v>
      </c>
      <c r="O496" s="31">
        <v>7</v>
      </c>
      <c r="P496" s="31">
        <v>2</v>
      </c>
      <c r="Q496" s="32">
        <v>2010</v>
      </c>
    </row>
    <row r="497" spans="1:17" x14ac:dyDescent="0.25">
      <c r="A497" s="1" t="s">
        <v>261</v>
      </c>
      <c r="B497" s="31">
        <v>36.200000000000003</v>
      </c>
      <c r="C497" s="1" t="s">
        <v>20</v>
      </c>
      <c r="D497" s="2">
        <v>42644</v>
      </c>
      <c r="E497" s="2">
        <v>42675</v>
      </c>
      <c r="F497" s="17">
        <v>944000</v>
      </c>
      <c r="G497" s="17">
        <v>26077.35</v>
      </c>
      <c r="H497" s="1"/>
      <c r="I497" s="1" t="s">
        <v>21</v>
      </c>
      <c r="J497" s="1" t="s">
        <v>32</v>
      </c>
      <c r="K497" s="1"/>
      <c r="L497" s="1" t="s">
        <v>252</v>
      </c>
      <c r="M497" s="1"/>
      <c r="N497" s="1" t="s">
        <v>258</v>
      </c>
      <c r="O497" s="31">
        <v>2</v>
      </c>
      <c r="P497" s="31">
        <v>1</v>
      </c>
      <c r="Q497" s="32">
        <v>2016</v>
      </c>
    </row>
    <row r="498" spans="1:17" x14ac:dyDescent="0.25">
      <c r="A498" s="1" t="s">
        <v>263</v>
      </c>
      <c r="B498" s="31">
        <v>26.8</v>
      </c>
      <c r="C498" s="1" t="s">
        <v>20</v>
      </c>
      <c r="D498" s="2">
        <v>42644</v>
      </c>
      <c r="E498" s="2">
        <v>42675</v>
      </c>
      <c r="F498" s="17">
        <v>700000</v>
      </c>
      <c r="G498" s="17">
        <v>26119.4</v>
      </c>
      <c r="H498" s="1"/>
      <c r="I498" s="1" t="s">
        <v>21</v>
      </c>
      <c r="J498" s="1" t="s">
        <v>32</v>
      </c>
      <c r="K498" s="1"/>
      <c r="L498" s="1" t="s">
        <v>252</v>
      </c>
      <c r="M498" s="1"/>
      <c r="N498" s="1" t="s">
        <v>59</v>
      </c>
      <c r="O498" s="31">
        <v>2</v>
      </c>
      <c r="P498" s="31">
        <v>2</v>
      </c>
      <c r="Q498" s="32">
        <v>2007</v>
      </c>
    </row>
    <row r="499" spans="1:17" x14ac:dyDescent="0.25">
      <c r="A499" s="1" t="s">
        <v>263</v>
      </c>
      <c r="B499" s="31">
        <v>26.8</v>
      </c>
      <c r="C499" s="1" t="s">
        <v>20</v>
      </c>
      <c r="D499" s="2">
        <v>42644</v>
      </c>
      <c r="E499" s="2">
        <v>42675</v>
      </c>
      <c r="F499" s="17">
        <v>700000</v>
      </c>
      <c r="G499" s="17">
        <v>26119.4</v>
      </c>
      <c r="H499" s="1"/>
      <c r="I499" s="1" t="s">
        <v>21</v>
      </c>
      <c r="J499" s="1" t="s">
        <v>32</v>
      </c>
      <c r="K499" s="1"/>
      <c r="L499" s="1" t="s">
        <v>252</v>
      </c>
      <c r="M499" s="1"/>
      <c r="N499" s="1" t="s">
        <v>59</v>
      </c>
      <c r="O499" s="31">
        <v>2</v>
      </c>
      <c r="P499" s="31">
        <v>2</v>
      </c>
      <c r="Q499" s="32">
        <v>2007</v>
      </c>
    </row>
    <row r="500" spans="1:17" x14ac:dyDescent="0.25">
      <c r="A500" s="1" t="s">
        <v>261</v>
      </c>
      <c r="B500" s="31">
        <v>31.4</v>
      </c>
      <c r="C500" s="1" t="s">
        <v>20</v>
      </c>
      <c r="D500" s="2">
        <v>42705</v>
      </c>
      <c r="E500" s="2">
        <v>42705</v>
      </c>
      <c r="F500" s="17">
        <v>821600</v>
      </c>
      <c r="G500" s="17">
        <v>26165.61</v>
      </c>
      <c r="H500" s="1"/>
      <c r="I500" s="1" t="s">
        <v>21</v>
      </c>
      <c r="J500" s="1" t="s">
        <v>22</v>
      </c>
      <c r="K500" s="1"/>
      <c r="L500" s="1" t="s">
        <v>252</v>
      </c>
      <c r="M500" s="1"/>
      <c r="N500" s="1"/>
      <c r="O500" s="31">
        <v>5</v>
      </c>
      <c r="P500" s="31">
        <v>1</v>
      </c>
      <c r="Q500" s="32">
        <v>2016</v>
      </c>
    </row>
    <row r="501" spans="1:17" x14ac:dyDescent="0.25">
      <c r="A501" s="1" t="s">
        <v>261</v>
      </c>
      <c r="B501" s="31">
        <v>31.7</v>
      </c>
      <c r="C501" s="1" t="s">
        <v>20</v>
      </c>
      <c r="D501" s="2">
        <v>42705</v>
      </c>
      <c r="E501" s="2">
        <v>42736</v>
      </c>
      <c r="F501" s="17">
        <v>832200</v>
      </c>
      <c r="G501" s="17">
        <v>26252.37</v>
      </c>
      <c r="H501" s="1"/>
      <c r="I501" s="1" t="s">
        <v>21</v>
      </c>
      <c r="J501" s="1" t="s">
        <v>22</v>
      </c>
      <c r="K501" s="1"/>
      <c r="L501" s="1" t="s">
        <v>252</v>
      </c>
      <c r="M501" s="1"/>
      <c r="N501" s="1"/>
      <c r="O501" s="31">
        <v>5</v>
      </c>
      <c r="P501" s="31">
        <v>1</v>
      </c>
      <c r="Q501" s="32">
        <v>2016</v>
      </c>
    </row>
    <row r="502" spans="1:17" x14ac:dyDescent="0.25">
      <c r="A502" s="1" t="s">
        <v>267</v>
      </c>
      <c r="B502" s="31">
        <v>63.8</v>
      </c>
      <c r="C502" s="1" t="s">
        <v>20</v>
      </c>
      <c r="D502" s="2">
        <v>42675</v>
      </c>
      <c r="E502" s="2">
        <v>42675</v>
      </c>
      <c r="F502" s="17">
        <v>1680200</v>
      </c>
      <c r="G502" s="17">
        <v>26335.42</v>
      </c>
      <c r="H502" s="1"/>
      <c r="I502" s="1" t="s">
        <v>21</v>
      </c>
      <c r="J502" s="1" t="s">
        <v>32</v>
      </c>
      <c r="K502" s="1"/>
      <c r="L502" s="1" t="s">
        <v>252</v>
      </c>
      <c r="M502" s="1"/>
      <c r="N502" s="1"/>
      <c r="O502" s="31">
        <v>8</v>
      </c>
      <c r="P502" s="31">
        <v>2</v>
      </c>
      <c r="Q502" s="32">
        <v>2016</v>
      </c>
    </row>
    <row r="503" spans="1:17" x14ac:dyDescent="0.25">
      <c r="A503" s="1" t="s">
        <v>267</v>
      </c>
      <c r="B503" s="31">
        <v>63.8</v>
      </c>
      <c r="C503" s="1" t="s">
        <v>20</v>
      </c>
      <c r="D503" s="2">
        <v>42675</v>
      </c>
      <c r="E503" s="2">
        <v>42675</v>
      </c>
      <c r="F503" s="17">
        <v>1680200</v>
      </c>
      <c r="G503" s="17">
        <v>26335.42</v>
      </c>
      <c r="H503" s="1"/>
      <c r="I503" s="1" t="s">
        <v>21</v>
      </c>
      <c r="J503" s="1" t="s">
        <v>32</v>
      </c>
      <c r="K503" s="1"/>
      <c r="L503" s="1" t="s">
        <v>252</v>
      </c>
      <c r="M503" s="1"/>
      <c r="N503" s="1"/>
      <c r="O503" s="31">
        <v>8</v>
      </c>
      <c r="P503" s="31">
        <v>2</v>
      </c>
      <c r="Q503" s="32">
        <v>2016</v>
      </c>
    </row>
    <row r="504" spans="1:17" x14ac:dyDescent="0.25">
      <c r="A504" s="1" t="s">
        <v>281</v>
      </c>
      <c r="B504" s="31">
        <v>31.5</v>
      </c>
      <c r="C504" s="1" t="s">
        <v>20</v>
      </c>
      <c r="D504" s="2">
        <v>42705</v>
      </c>
      <c r="E504" s="2">
        <v>42705</v>
      </c>
      <c r="F504" s="17">
        <v>830000</v>
      </c>
      <c r="G504" s="17">
        <v>26349.21</v>
      </c>
      <c r="H504" s="1"/>
      <c r="I504" s="1" t="s">
        <v>21</v>
      </c>
      <c r="J504" s="1" t="s">
        <v>22</v>
      </c>
      <c r="K504" s="1"/>
      <c r="L504" s="1" t="s">
        <v>252</v>
      </c>
      <c r="M504" s="1"/>
      <c r="N504" s="1" t="s">
        <v>258</v>
      </c>
      <c r="O504" s="31">
        <v>1</v>
      </c>
      <c r="P504" s="31">
        <v>2</v>
      </c>
      <c r="Q504" s="32">
        <v>2016</v>
      </c>
    </row>
    <row r="505" spans="1:17" x14ac:dyDescent="0.25">
      <c r="A505" s="1" t="s">
        <v>281</v>
      </c>
      <c r="B505" s="31">
        <v>31.5</v>
      </c>
      <c r="C505" s="1" t="s">
        <v>20</v>
      </c>
      <c r="D505" s="2">
        <v>42705</v>
      </c>
      <c r="E505" s="2">
        <v>42705</v>
      </c>
      <c r="F505" s="17">
        <v>830000</v>
      </c>
      <c r="G505" s="17">
        <v>26349.21</v>
      </c>
      <c r="H505" s="1"/>
      <c r="I505" s="1" t="s">
        <v>21</v>
      </c>
      <c r="J505" s="1" t="s">
        <v>22</v>
      </c>
      <c r="K505" s="1"/>
      <c r="L505" s="1" t="s">
        <v>252</v>
      </c>
      <c r="M505" s="1"/>
      <c r="N505" s="1" t="s">
        <v>258</v>
      </c>
      <c r="O505" s="31">
        <v>1</v>
      </c>
      <c r="P505" s="31">
        <v>2</v>
      </c>
      <c r="Q505" s="32">
        <v>2016</v>
      </c>
    </row>
    <row r="506" spans="1:17" x14ac:dyDescent="0.25">
      <c r="A506" s="1" t="s">
        <v>264</v>
      </c>
      <c r="B506" s="31">
        <v>30.3</v>
      </c>
      <c r="C506" s="1" t="s">
        <v>20</v>
      </c>
      <c r="D506" s="2">
        <v>42705</v>
      </c>
      <c r="E506" s="2">
        <v>42705</v>
      </c>
      <c r="F506" s="17">
        <v>800000</v>
      </c>
      <c r="G506" s="17">
        <v>26402.639999999999</v>
      </c>
      <c r="H506" s="1"/>
      <c r="I506" s="1" t="s">
        <v>21</v>
      </c>
      <c r="J506" s="1" t="s">
        <v>32</v>
      </c>
      <c r="K506" s="1"/>
      <c r="L506" s="1" t="s">
        <v>252</v>
      </c>
      <c r="M506" s="1"/>
      <c r="N506" s="1" t="s">
        <v>258</v>
      </c>
      <c r="O506" s="31">
        <v>2</v>
      </c>
      <c r="P506" s="31">
        <v>2</v>
      </c>
      <c r="Q506" s="32">
        <v>2001</v>
      </c>
    </row>
    <row r="507" spans="1:17" x14ac:dyDescent="0.25">
      <c r="A507" s="1" t="s">
        <v>264</v>
      </c>
      <c r="B507" s="31">
        <v>30.3</v>
      </c>
      <c r="C507" s="1" t="s">
        <v>20</v>
      </c>
      <c r="D507" s="2">
        <v>42705</v>
      </c>
      <c r="E507" s="2">
        <v>42705</v>
      </c>
      <c r="F507" s="17">
        <v>800000</v>
      </c>
      <c r="G507" s="17">
        <v>26402.639999999999</v>
      </c>
      <c r="H507" s="1"/>
      <c r="I507" s="1" t="s">
        <v>21</v>
      </c>
      <c r="J507" s="1" t="s">
        <v>32</v>
      </c>
      <c r="K507" s="1"/>
      <c r="L507" s="1" t="s">
        <v>252</v>
      </c>
      <c r="M507" s="1"/>
      <c r="N507" s="1" t="s">
        <v>258</v>
      </c>
      <c r="O507" s="31">
        <v>2</v>
      </c>
      <c r="P507" s="31">
        <v>2</v>
      </c>
      <c r="Q507" s="32">
        <v>2001</v>
      </c>
    </row>
    <row r="508" spans="1:17" x14ac:dyDescent="0.25">
      <c r="A508" s="1" t="s">
        <v>262</v>
      </c>
      <c r="B508" s="31">
        <v>32.5</v>
      </c>
      <c r="C508" s="1" t="s">
        <v>20</v>
      </c>
      <c r="D508" s="2">
        <v>42736</v>
      </c>
      <c r="E508" s="2">
        <v>42767</v>
      </c>
      <c r="F508" s="17">
        <v>858750</v>
      </c>
      <c r="G508" s="17">
        <v>26423.08</v>
      </c>
      <c r="H508" s="1"/>
      <c r="I508" s="1" t="s">
        <v>21</v>
      </c>
      <c r="J508" s="1" t="s">
        <v>22</v>
      </c>
      <c r="K508" s="1"/>
      <c r="L508" s="1" t="s">
        <v>252</v>
      </c>
      <c r="M508" s="1"/>
      <c r="N508" s="1"/>
      <c r="O508" s="31">
        <v>9</v>
      </c>
      <c r="P508" s="31">
        <v>1</v>
      </c>
      <c r="Q508" s="32">
        <v>2016</v>
      </c>
    </row>
    <row r="509" spans="1:17" x14ac:dyDescent="0.25">
      <c r="A509" s="1" t="s">
        <v>261</v>
      </c>
      <c r="B509" s="31">
        <v>53.4</v>
      </c>
      <c r="C509" s="1" t="s">
        <v>20</v>
      </c>
      <c r="D509" s="2">
        <v>42644</v>
      </c>
      <c r="E509" s="2">
        <v>42644</v>
      </c>
      <c r="F509" s="17">
        <v>1412800</v>
      </c>
      <c r="G509" s="17">
        <v>26456.93</v>
      </c>
      <c r="H509" s="1"/>
      <c r="I509" s="1" t="s">
        <v>21</v>
      </c>
      <c r="J509" s="1" t="s">
        <v>32</v>
      </c>
      <c r="K509" s="1"/>
      <c r="L509" s="1" t="s">
        <v>252</v>
      </c>
      <c r="M509" s="1"/>
      <c r="N509" s="1"/>
      <c r="O509" s="31">
        <v>9</v>
      </c>
      <c r="P509" s="31">
        <v>2</v>
      </c>
      <c r="Q509" s="32">
        <v>2016</v>
      </c>
    </row>
    <row r="510" spans="1:17" x14ac:dyDescent="0.25">
      <c r="A510" s="1" t="s">
        <v>261</v>
      </c>
      <c r="B510" s="31">
        <v>53.4</v>
      </c>
      <c r="C510" s="1" t="s">
        <v>20</v>
      </c>
      <c r="D510" s="2">
        <v>42644</v>
      </c>
      <c r="E510" s="2">
        <v>42644</v>
      </c>
      <c r="F510" s="17">
        <v>1412800</v>
      </c>
      <c r="G510" s="17">
        <v>26456.93</v>
      </c>
      <c r="H510" s="1"/>
      <c r="I510" s="1" t="s">
        <v>21</v>
      </c>
      <c r="J510" s="1" t="s">
        <v>32</v>
      </c>
      <c r="K510" s="1"/>
      <c r="L510" s="1" t="s">
        <v>252</v>
      </c>
      <c r="M510" s="1"/>
      <c r="N510" s="1"/>
      <c r="O510" s="31">
        <v>9</v>
      </c>
      <c r="P510" s="31">
        <v>2</v>
      </c>
      <c r="Q510" s="32">
        <v>2016</v>
      </c>
    </row>
    <row r="511" spans="1:17" x14ac:dyDescent="0.25">
      <c r="A511" s="1" t="s">
        <v>262</v>
      </c>
      <c r="B511" s="31">
        <v>45.2</v>
      </c>
      <c r="C511" s="1" t="s">
        <v>20</v>
      </c>
      <c r="D511" s="2">
        <v>42705</v>
      </c>
      <c r="E511" s="2">
        <v>42705</v>
      </c>
      <c r="F511" s="17">
        <v>1200000</v>
      </c>
      <c r="G511" s="17">
        <v>26548.67</v>
      </c>
      <c r="H511" s="1"/>
      <c r="I511" s="1" t="s">
        <v>21</v>
      </c>
      <c r="J511" s="1" t="s">
        <v>22</v>
      </c>
      <c r="K511" s="1"/>
      <c r="L511" s="1" t="s">
        <v>252</v>
      </c>
      <c r="M511" s="1"/>
      <c r="N511" s="1"/>
      <c r="O511" s="31">
        <v>9</v>
      </c>
      <c r="P511" s="31">
        <v>1</v>
      </c>
      <c r="Q511" s="32">
        <v>2016</v>
      </c>
    </row>
    <row r="512" spans="1:17" x14ac:dyDescent="0.25">
      <c r="A512" s="1" t="s">
        <v>273</v>
      </c>
      <c r="B512" s="31">
        <v>70.599999999999994</v>
      </c>
      <c r="C512" s="1" t="s">
        <v>20</v>
      </c>
      <c r="D512" s="2">
        <v>42705</v>
      </c>
      <c r="E512" s="2">
        <v>42705</v>
      </c>
      <c r="F512" s="17">
        <v>1880000</v>
      </c>
      <c r="G512" s="17">
        <v>26628.9</v>
      </c>
      <c r="H512" s="1"/>
      <c r="I512" s="1" t="s">
        <v>21</v>
      </c>
      <c r="J512" s="1" t="s">
        <v>32</v>
      </c>
      <c r="K512" s="1"/>
      <c r="L512" s="1" t="s">
        <v>252</v>
      </c>
      <c r="M512" s="1"/>
      <c r="N512" s="1"/>
      <c r="O512" s="31">
        <v>5</v>
      </c>
      <c r="P512" s="31">
        <v>1</v>
      </c>
      <c r="Q512" s="32">
        <v>2011</v>
      </c>
    </row>
    <row r="513" spans="1:17" x14ac:dyDescent="0.25">
      <c r="A513" s="1" t="s">
        <v>264</v>
      </c>
      <c r="B513" s="31">
        <v>30</v>
      </c>
      <c r="C513" s="1" t="s">
        <v>20</v>
      </c>
      <c r="D513" s="2">
        <v>42675</v>
      </c>
      <c r="E513" s="2">
        <v>42675</v>
      </c>
      <c r="F513" s="17">
        <v>800000</v>
      </c>
      <c r="G513" s="17">
        <v>26666.67</v>
      </c>
      <c r="H513" s="1"/>
      <c r="I513" s="1" t="s">
        <v>21</v>
      </c>
      <c r="J513" s="1" t="s">
        <v>32</v>
      </c>
      <c r="K513" s="1"/>
      <c r="L513" s="1" t="s">
        <v>252</v>
      </c>
      <c r="M513" s="1"/>
      <c r="N513" s="1"/>
      <c r="O513" s="31">
        <v>5</v>
      </c>
      <c r="P513" s="31">
        <v>1</v>
      </c>
      <c r="Q513" s="32">
        <v>2006</v>
      </c>
    </row>
    <row r="514" spans="1:17" x14ac:dyDescent="0.25">
      <c r="A514" s="1" t="s">
        <v>273</v>
      </c>
      <c r="B514" s="31">
        <v>40.5</v>
      </c>
      <c r="C514" s="1" t="s">
        <v>20</v>
      </c>
      <c r="D514" s="2">
        <v>42767</v>
      </c>
      <c r="E514" s="2">
        <v>42767</v>
      </c>
      <c r="F514" s="17">
        <v>1080000</v>
      </c>
      <c r="G514" s="17">
        <v>26666.67</v>
      </c>
      <c r="H514" s="1"/>
      <c r="I514" s="1" t="s">
        <v>21</v>
      </c>
      <c r="J514" s="1" t="s">
        <v>32</v>
      </c>
      <c r="K514" s="1"/>
      <c r="L514" s="1" t="s">
        <v>252</v>
      </c>
      <c r="M514" s="1"/>
      <c r="N514" s="1" t="s">
        <v>265</v>
      </c>
      <c r="O514" s="31">
        <v>6</v>
      </c>
      <c r="P514" s="31">
        <v>2</v>
      </c>
      <c r="Q514" s="32">
        <v>2007</v>
      </c>
    </row>
    <row r="515" spans="1:17" x14ac:dyDescent="0.25">
      <c r="A515" s="1" t="s">
        <v>273</v>
      </c>
      <c r="B515" s="31">
        <v>40.5</v>
      </c>
      <c r="C515" s="1" t="s">
        <v>20</v>
      </c>
      <c r="D515" s="2">
        <v>42767</v>
      </c>
      <c r="E515" s="2">
        <v>42767</v>
      </c>
      <c r="F515" s="17">
        <v>1080000</v>
      </c>
      <c r="G515" s="17">
        <v>26666.67</v>
      </c>
      <c r="H515" s="1"/>
      <c r="I515" s="1" t="s">
        <v>21</v>
      </c>
      <c r="J515" s="1" t="s">
        <v>32</v>
      </c>
      <c r="K515" s="1"/>
      <c r="L515" s="1" t="s">
        <v>252</v>
      </c>
      <c r="M515" s="1"/>
      <c r="N515" s="1" t="s">
        <v>265</v>
      </c>
      <c r="O515" s="31">
        <v>6</v>
      </c>
      <c r="P515" s="31">
        <v>2</v>
      </c>
      <c r="Q515" s="32">
        <v>2007</v>
      </c>
    </row>
    <row r="516" spans="1:17" x14ac:dyDescent="0.25">
      <c r="A516" s="1" t="s">
        <v>262</v>
      </c>
      <c r="B516" s="31">
        <v>32.799999999999997</v>
      </c>
      <c r="C516" s="1" t="s">
        <v>20</v>
      </c>
      <c r="D516" s="2">
        <v>42705</v>
      </c>
      <c r="E516" s="2">
        <v>42705</v>
      </c>
      <c r="F516" s="17">
        <v>878400</v>
      </c>
      <c r="G516" s="17">
        <v>26780.49</v>
      </c>
      <c r="H516" s="1"/>
      <c r="I516" s="1" t="s">
        <v>21</v>
      </c>
      <c r="J516" s="1" t="s">
        <v>22</v>
      </c>
      <c r="K516" s="1"/>
      <c r="L516" s="1" t="s">
        <v>252</v>
      </c>
      <c r="M516" s="1"/>
      <c r="N516" s="1"/>
      <c r="O516" s="31">
        <v>9</v>
      </c>
      <c r="P516" s="31">
        <v>1</v>
      </c>
      <c r="Q516" s="32">
        <v>2016</v>
      </c>
    </row>
    <row r="517" spans="1:17" x14ac:dyDescent="0.25">
      <c r="A517" s="1" t="s">
        <v>271</v>
      </c>
      <c r="B517" s="31">
        <v>44.8</v>
      </c>
      <c r="C517" s="1" t="s">
        <v>20</v>
      </c>
      <c r="D517" s="2">
        <v>42644</v>
      </c>
      <c r="E517" s="2">
        <v>42675</v>
      </c>
      <c r="F517" s="17">
        <v>1200000</v>
      </c>
      <c r="G517" s="17">
        <v>26785.71</v>
      </c>
      <c r="H517" s="1"/>
      <c r="I517" s="1" t="s">
        <v>21</v>
      </c>
      <c r="J517" s="1" t="s">
        <v>32</v>
      </c>
      <c r="K517" s="1"/>
      <c r="L517" s="1" t="s">
        <v>252</v>
      </c>
      <c r="M517" s="1"/>
      <c r="N517" s="1"/>
      <c r="O517" s="31">
        <v>4</v>
      </c>
      <c r="P517" s="31">
        <v>1</v>
      </c>
      <c r="Q517" s="32">
        <v>2016</v>
      </c>
    </row>
    <row r="518" spans="1:17" x14ac:dyDescent="0.25">
      <c r="A518" s="1" t="s">
        <v>264</v>
      </c>
      <c r="B518" s="31">
        <v>44.8</v>
      </c>
      <c r="C518" s="1" t="s">
        <v>20</v>
      </c>
      <c r="D518" s="2">
        <v>42675</v>
      </c>
      <c r="E518" s="2">
        <v>42675</v>
      </c>
      <c r="F518" s="17">
        <v>1200000</v>
      </c>
      <c r="G518" s="17">
        <v>26785.71</v>
      </c>
      <c r="H518" s="1"/>
      <c r="I518" s="1" t="s">
        <v>21</v>
      </c>
      <c r="J518" s="1" t="s">
        <v>32</v>
      </c>
      <c r="K518" s="1"/>
      <c r="L518" s="1" t="s">
        <v>252</v>
      </c>
      <c r="M518" s="1"/>
      <c r="N518" s="1" t="s">
        <v>265</v>
      </c>
      <c r="O518" s="31">
        <v>4</v>
      </c>
      <c r="P518" s="31">
        <v>2</v>
      </c>
      <c r="Q518" s="32">
        <v>2002</v>
      </c>
    </row>
    <row r="519" spans="1:17" x14ac:dyDescent="0.25">
      <c r="A519" s="1" t="s">
        <v>264</v>
      </c>
      <c r="B519" s="31">
        <v>44.8</v>
      </c>
      <c r="C519" s="1" t="s">
        <v>20</v>
      </c>
      <c r="D519" s="2">
        <v>42675</v>
      </c>
      <c r="E519" s="2">
        <v>42675</v>
      </c>
      <c r="F519" s="17">
        <v>1200000</v>
      </c>
      <c r="G519" s="17">
        <v>26785.71</v>
      </c>
      <c r="H519" s="1"/>
      <c r="I519" s="1" t="s">
        <v>21</v>
      </c>
      <c r="J519" s="1" t="s">
        <v>32</v>
      </c>
      <c r="K519" s="1"/>
      <c r="L519" s="1" t="s">
        <v>252</v>
      </c>
      <c r="M519" s="1"/>
      <c r="N519" s="1" t="s">
        <v>265</v>
      </c>
      <c r="O519" s="31">
        <v>4</v>
      </c>
      <c r="P519" s="31">
        <v>2</v>
      </c>
      <c r="Q519" s="32">
        <v>2002</v>
      </c>
    </row>
    <row r="520" spans="1:17" x14ac:dyDescent="0.25">
      <c r="A520" s="1" t="s">
        <v>266</v>
      </c>
      <c r="B520" s="31">
        <v>52.1</v>
      </c>
      <c r="C520" s="1" t="s">
        <v>20</v>
      </c>
      <c r="D520" s="2">
        <v>42644</v>
      </c>
      <c r="E520" s="2">
        <v>42675</v>
      </c>
      <c r="F520" s="17">
        <v>1400000</v>
      </c>
      <c r="G520" s="17">
        <v>26871.4</v>
      </c>
      <c r="H520" s="1"/>
      <c r="I520" s="1" t="s">
        <v>21</v>
      </c>
      <c r="J520" s="1" t="s">
        <v>22</v>
      </c>
      <c r="K520" s="1"/>
      <c r="L520" s="1" t="s">
        <v>252</v>
      </c>
      <c r="M520" s="1"/>
      <c r="N520" s="1" t="s">
        <v>254</v>
      </c>
      <c r="O520" s="31">
        <v>5</v>
      </c>
      <c r="P520" s="31">
        <v>1</v>
      </c>
      <c r="Q520" s="32">
        <v>2016</v>
      </c>
    </row>
    <row r="521" spans="1:17" x14ac:dyDescent="0.25">
      <c r="A521" s="1" t="s">
        <v>264</v>
      </c>
      <c r="B521" s="31">
        <v>61.4</v>
      </c>
      <c r="C521" s="1" t="s">
        <v>20</v>
      </c>
      <c r="D521" s="2">
        <v>42675</v>
      </c>
      <c r="E521" s="2">
        <v>42675</v>
      </c>
      <c r="F521" s="17">
        <v>1650000</v>
      </c>
      <c r="G521" s="17">
        <v>26872.959999999999</v>
      </c>
      <c r="H521" s="1"/>
      <c r="I521" s="1" t="s">
        <v>21</v>
      </c>
      <c r="J521" s="1" t="s">
        <v>32</v>
      </c>
      <c r="K521" s="1"/>
      <c r="L521" s="1" t="s">
        <v>252</v>
      </c>
      <c r="M521" s="1"/>
      <c r="N521" s="1" t="s">
        <v>269</v>
      </c>
      <c r="O521" s="31">
        <v>3</v>
      </c>
      <c r="P521" s="31">
        <v>1</v>
      </c>
      <c r="Q521" s="32">
        <v>2009</v>
      </c>
    </row>
    <row r="522" spans="1:17" x14ac:dyDescent="0.25">
      <c r="A522" s="1" t="s">
        <v>266</v>
      </c>
      <c r="B522" s="31">
        <v>62.7</v>
      </c>
      <c r="C522" s="1" t="s">
        <v>20</v>
      </c>
      <c r="D522" s="2">
        <v>42675</v>
      </c>
      <c r="E522" s="2">
        <v>42675</v>
      </c>
      <c r="F522" s="17">
        <v>1691850</v>
      </c>
      <c r="G522" s="17">
        <v>26983.25</v>
      </c>
      <c r="H522" s="1"/>
      <c r="I522" s="1" t="s">
        <v>21</v>
      </c>
      <c r="J522" s="1" t="s">
        <v>22</v>
      </c>
      <c r="K522" s="1"/>
      <c r="L522" s="1" t="s">
        <v>252</v>
      </c>
      <c r="M522" s="1"/>
      <c r="N522" s="1" t="s">
        <v>130</v>
      </c>
      <c r="O522" s="31">
        <v>7</v>
      </c>
      <c r="P522" s="31">
        <v>1</v>
      </c>
      <c r="Q522" s="32">
        <v>2016</v>
      </c>
    </row>
    <row r="523" spans="1:17" x14ac:dyDescent="0.25">
      <c r="A523" s="1" t="s">
        <v>259</v>
      </c>
      <c r="B523" s="31">
        <v>50.4</v>
      </c>
      <c r="C523" s="1" t="s">
        <v>20</v>
      </c>
      <c r="D523" s="2">
        <v>42644</v>
      </c>
      <c r="E523" s="2">
        <v>42644</v>
      </c>
      <c r="F523" s="17">
        <v>1360000</v>
      </c>
      <c r="G523" s="17">
        <v>26984.13</v>
      </c>
      <c r="H523" s="1"/>
      <c r="I523" s="1" t="s">
        <v>21</v>
      </c>
      <c r="J523" s="1" t="s">
        <v>22</v>
      </c>
      <c r="K523" s="1"/>
      <c r="L523" s="1" t="s">
        <v>252</v>
      </c>
      <c r="M523" s="1"/>
      <c r="N523" s="1"/>
      <c r="O523" s="31">
        <v>2</v>
      </c>
      <c r="P523" s="31">
        <v>2</v>
      </c>
      <c r="Q523" s="32">
        <v>2016</v>
      </c>
    </row>
    <row r="524" spans="1:17" x14ac:dyDescent="0.25">
      <c r="A524" s="1" t="s">
        <v>259</v>
      </c>
      <c r="B524" s="31">
        <v>50.4</v>
      </c>
      <c r="C524" s="1" t="s">
        <v>20</v>
      </c>
      <c r="D524" s="2">
        <v>42644</v>
      </c>
      <c r="E524" s="2">
        <v>42644</v>
      </c>
      <c r="F524" s="17">
        <v>1360000</v>
      </c>
      <c r="G524" s="17">
        <v>26984.13</v>
      </c>
      <c r="H524" s="1"/>
      <c r="I524" s="1" t="s">
        <v>21</v>
      </c>
      <c r="J524" s="1" t="s">
        <v>22</v>
      </c>
      <c r="K524" s="1"/>
      <c r="L524" s="1" t="s">
        <v>252</v>
      </c>
      <c r="M524" s="1"/>
      <c r="N524" s="1"/>
      <c r="O524" s="31">
        <v>2</v>
      </c>
      <c r="P524" s="31">
        <v>2</v>
      </c>
      <c r="Q524" s="32">
        <v>2016</v>
      </c>
    </row>
    <row r="525" spans="1:17" x14ac:dyDescent="0.25">
      <c r="A525" s="1" t="s">
        <v>256</v>
      </c>
      <c r="B525" s="31">
        <v>50</v>
      </c>
      <c r="C525" s="1" t="s">
        <v>20</v>
      </c>
      <c r="D525" s="2">
        <v>42675</v>
      </c>
      <c r="E525" s="2">
        <v>42675</v>
      </c>
      <c r="F525" s="17">
        <v>1350000</v>
      </c>
      <c r="G525" s="17">
        <v>27000</v>
      </c>
      <c r="H525" s="1"/>
      <c r="I525" s="1" t="s">
        <v>21</v>
      </c>
      <c r="J525" s="1" t="s">
        <v>32</v>
      </c>
      <c r="K525" s="1"/>
      <c r="L525" s="1" t="s">
        <v>252</v>
      </c>
      <c r="M525" s="1"/>
      <c r="N525" s="1" t="s">
        <v>257</v>
      </c>
      <c r="O525" s="31">
        <v>5</v>
      </c>
      <c r="P525" s="31">
        <v>2</v>
      </c>
      <c r="Q525" s="32">
        <v>2006</v>
      </c>
    </row>
    <row r="526" spans="1:17" x14ac:dyDescent="0.25">
      <c r="A526" s="1" t="s">
        <v>256</v>
      </c>
      <c r="B526" s="31">
        <v>50</v>
      </c>
      <c r="C526" s="1" t="s">
        <v>20</v>
      </c>
      <c r="D526" s="2">
        <v>42675</v>
      </c>
      <c r="E526" s="2">
        <v>42675</v>
      </c>
      <c r="F526" s="17">
        <v>1350000</v>
      </c>
      <c r="G526" s="17">
        <v>27000</v>
      </c>
      <c r="H526" s="1"/>
      <c r="I526" s="1" t="s">
        <v>21</v>
      </c>
      <c r="J526" s="1" t="s">
        <v>32</v>
      </c>
      <c r="K526" s="1"/>
      <c r="L526" s="1" t="s">
        <v>252</v>
      </c>
      <c r="M526" s="1"/>
      <c r="N526" s="1" t="s">
        <v>257</v>
      </c>
      <c r="O526" s="31">
        <v>5</v>
      </c>
      <c r="P526" s="31">
        <v>2</v>
      </c>
      <c r="Q526" s="32">
        <v>2006</v>
      </c>
    </row>
    <row r="527" spans="1:17" x14ac:dyDescent="0.25">
      <c r="A527" s="1" t="s">
        <v>266</v>
      </c>
      <c r="B527" s="31">
        <v>55.5</v>
      </c>
      <c r="C527" s="1" t="s">
        <v>20</v>
      </c>
      <c r="D527" s="2">
        <v>42644</v>
      </c>
      <c r="E527" s="2">
        <v>42644</v>
      </c>
      <c r="F527" s="17">
        <v>1500000</v>
      </c>
      <c r="G527" s="17">
        <v>27027.03</v>
      </c>
      <c r="H527" s="1"/>
      <c r="I527" s="1" t="s">
        <v>21</v>
      </c>
      <c r="J527" s="1" t="s">
        <v>32</v>
      </c>
      <c r="K527" s="1"/>
      <c r="L527" s="1" t="s">
        <v>252</v>
      </c>
      <c r="M527" s="1"/>
      <c r="N527" s="1" t="s">
        <v>254</v>
      </c>
      <c r="O527" s="31">
        <v>6</v>
      </c>
      <c r="P527" s="31">
        <v>2</v>
      </c>
      <c r="Q527" s="32">
        <v>2012</v>
      </c>
    </row>
    <row r="528" spans="1:17" x14ac:dyDescent="0.25">
      <c r="A528" s="1" t="s">
        <v>266</v>
      </c>
      <c r="B528" s="31">
        <v>55.5</v>
      </c>
      <c r="C528" s="1" t="s">
        <v>20</v>
      </c>
      <c r="D528" s="2">
        <v>42644</v>
      </c>
      <c r="E528" s="2">
        <v>42644</v>
      </c>
      <c r="F528" s="17">
        <v>1500000</v>
      </c>
      <c r="G528" s="17">
        <v>27027.03</v>
      </c>
      <c r="H528" s="1"/>
      <c r="I528" s="1" t="s">
        <v>21</v>
      </c>
      <c r="J528" s="1" t="s">
        <v>32</v>
      </c>
      <c r="K528" s="1"/>
      <c r="L528" s="1" t="s">
        <v>252</v>
      </c>
      <c r="M528" s="1"/>
      <c r="N528" s="1" t="s">
        <v>254</v>
      </c>
      <c r="O528" s="31">
        <v>6</v>
      </c>
      <c r="P528" s="31">
        <v>2</v>
      </c>
      <c r="Q528" s="32">
        <v>2012</v>
      </c>
    </row>
    <row r="529" spans="1:17" x14ac:dyDescent="0.25">
      <c r="A529" s="1" t="s">
        <v>253</v>
      </c>
      <c r="B529" s="31">
        <v>45</v>
      </c>
      <c r="C529" s="1" t="s">
        <v>20</v>
      </c>
      <c r="D529" s="2">
        <v>42644</v>
      </c>
      <c r="E529" s="2">
        <v>42644</v>
      </c>
      <c r="F529" s="17">
        <v>1220000</v>
      </c>
      <c r="G529" s="17">
        <v>27111.11</v>
      </c>
      <c r="H529" s="1"/>
      <c r="I529" s="1" t="s">
        <v>21</v>
      </c>
      <c r="J529" s="1" t="s">
        <v>32</v>
      </c>
      <c r="K529" s="1"/>
      <c r="L529" s="1" t="s">
        <v>252</v>
      </c>
      <c r="M529" s="1"/>
      <c r="N529" s="1" t="s">
        <v>258</v>
      </c>
      <c r="O529" s="31">
        <v>4</v>
      </c>
      <c r="P529" s="31">
        <v>1</v>
      </c>
      <c r="Q529" s="32">
        <v>2010</v>
      </c>
    </row>
    <row r="530" spans="1:17" x14ac:dyDescent="0.25">
      <c r="A530" s="1" t="s">
        <v>261</v>
      </c>
      <c r="B530" s="31">
        <v>28.2</v>
      </c>
      <c r="C530" s="1" t="s">
        <v>20</v>
      </c>
      <c r="D530" s="2">
        <v>42736</v>
      </c>
      <c r="E530" s="2">
        <v>42736</v>
      </c>
      <c r="F530" s="17">
        <v>765000</v>
      </c>
      <c r="G530" s="17">
        <v>27127.66</v>
      </c>
      <c r="H530" s="1"/>
      <c r="I530" s="1" t="s">
        <v>21</v>
      </c>
      <c r="J530" s="1" t="s">
        <v>32</v>
      </c>
      <c r="K530" s="1"/>
      <c r="L530" s="1" t="s">
        <v>252</v>
      </c>
      <c r="M530" s="1"/>
      <c r="N530" s="1"/>
      <c r="O530" s="31">
        <v>8</v>
      </c>
      <c r="P530" s="31">
        <v>2</v>
      </c>
      <c r="Q530" s="32">
        <v>2016</v>
      </c>
    </row>
    <row r="531" spans="1:17" x14ac:dyDescent="0.25">
      <c r="A531" s="1" t="s">
        <v>261</v>
      </c>
      <c r="B531" s="31">
        <v>28.2</v>
      </c>
      <c r="C531" s="1" t="s">
        <v>20</v>
      </c>
      <c r="D531" s="2">
        <v>42736</v>
      </c>
      <c r="E531" s="2">
        <v>42736</v>
      </c>
      <c r="F531" s="17">
        <v>765000</v>
      </c>
      <c r="G531" s="17">
        <v>27127.66</v>
      </c>
      <c r="H531" s="1"/>
      <c r="I531" s="1" t="s">
        <v>21</v>
      </c>
      <c r="J531" s="1" t="s">
        <v>32</v>
      </c>
      <c r="K531" s="1"/>
      <c r="L531" s="1" t="s">
        <v>252</v>
      </c>
      <c r="M531" s="1"/>
      <c r="N531" s="1"/>
      <c r="O531" s="31">
        <v>8</v>
      </c>
      <c r="P531" s="31">
        <v>2</v>
      </c>
      <c r="Q531" s="32">
        <v>2016</v>
      </c>
    </row>
    <row r="532" spans="1:17" x14ac:dyDescent="0.25">
      <c r="A532" s="1" t="s">
        <v>268</v>
      </c>
      <c r="B532" s="31">
        <v>43.9</v>
      </c>
      <c r="C532" s="1" t="s">
        <v>20</v>
      </c>
      <c r="D532" s="2">
        <v>42736</v>
      </c>
      <c r="E532" s="2">
        <v>42736</v>
      </c>
      <c r="F532" s="17">
        <v>1191700</v>
      </c>
      <c r="G532" s="17">
        <v>27145.79</v>
      </c>
      <c r="H532" s="1"/>
      <c r="I532" s="1" t="s">
        <v>21</v>
      </c>
      <c r="J532" s="1" t="s">
        <v>32</v>
      </c>
      <c r="K532" s="1"/>
      <c r="L532" s="1" t="s">
        <v>252</v>
      </c>
      <c r="M532" s="1"/>
      <c r="N532" s="1" t="s">
        <v>130</v>
      </c>
      <c r="O532" s="31">
        <v>1</v>
      </c>
      <c r="P532" s="31">
        <v>1</v>
      </c>
      <c r="Q532" s="32">
        <v>2013</v>
      </c>
    </row>
    <row r="533" spans="1:17" x14ac:dyDescent="0.25">
      <c r="A533" s="1" t="s">
        <v>275</v>
      </c>
      <c r="B533" s="31">
        <v>47.8</v>
      </c>
      <c r="C533" s="1" t="s">
        <v>20</v>
      </c>
      <c r="D533" s="2">
        <v>42705</v>
      </c>
      <c r="E533" s="2">
        <v>42705</v>
      </c>
      <c r="F533" s="17">
        <v>1300000</v>
      </c>
      <c r="G533" s="17">
        <v>27196.65</v>
      </c>
      <c r="H533" s="1"/>
      <c r="I533" s="1" t="s">
        <v>21</v>
      </c>
      <c r="J533" s="1" t="s">
        <v>32</v>
      </c>
      <c r="K533" s="1"/>
      <c r="L533" s="1" t="s">
        <v>252</v>
      </c>
      <c r="M533" s="1"/>
      <c r="N533" s="1" t="s">
        <v>269</v>
      </c>
      <c r="O533" s="31">
        <v>1</v>
      </c>
      <c r="P533" s="31">
        <v>1</v>
      </c>
      <c r="Q533" s="32">
        <v>2006</v>
      </c>
    </row>
    <row r="534" spans="1:17" x14ac:dyDescent="0.25">
      <c r="A534" s="1" t="s">
        <v>264</v>
      </c>
      <c r="B534" s="31">
        <v>55</v>
      </c>
      <c r="C534" s="1" t="s">
        <v>20</v>
      </c>
      <c r="D534" s="2">
        <v>42675</v>
      </c>
      <c r="E534" s="2">
        <v>42675</v>
      </c>
      <c r="F534" s="17">
        <v>1500000</v>
      </c>
      <c r="G534" s="17">
        <v>27272.73</v>
      </c>
      <c r="H534" s="1"/>
      <c r="I534" s="1" t="s">
        <v>21</v>
      </c>
      <c r="J534" s="1" t="s">
        <v>32</v>
      </c>
      <c r="K534" s="1"/>
      <c r="L534" s="1" t="s">
        <v>252</v>
      </c>
      <c r="M534" s="1"/>
      <c r="N534" s="1" t="s">
        <v>265</v>
      </c>
      <c r="O534" s="31">
        <v>1</v>
      </c>
      <c r="P534" s="31">
        <v>1</v>
      </c>
      <c r="Q534" s="32">
        <v>2006</v>
      </c>
    </row>
    <row r="535" spans="1:17" x14ac:dyDescent="0.25">
      <c r="A535" s="1" t="s">
        <v>261</v>
      </c>
      <c r="B535" s="31">
        <v>46.9</v>
      </c>
      <c r="C535" s="1" t="s">
        <v>20</v>
      </c>
      <c r="D535" s="2">
        <v>42736</v>
      </c>
      <c r="E535" s="2">
        <v>42736</v>
      </c>
      <c r="F535" s="17">
        <v>1280000</v>
      </c>
      <c r="G535" s="17">
        <v>27292.11</v>
      </c>
      <c r="H535" s="1"/>
      <c r="I535" s="1" t="s">
        <v>21</v>
      </c>
      <c r="J535" s="1" t="s">
        <v>22</v>
      </c>
      <c r="K535" s="1"/>
      <c r="L535" s="1" t="s">
        <v>252</v>
      </c>
      <c r="M535" s="1"/>
      <c r="N535" s="1"/>
      <c r="O535" s="31">
        <v>4</v>
      </c>
      <c r="P535" s="31">
        <v>2</v>
      </c>
      <c r="Q535" s="32">
        <v>2016</v>
      </c>
    </row>
    <row r="536" spans="1:17" x14ac:dyDescent="0.25">
      <c r="A536" s="1" t="s">
        <v>261</v>
      </c>
      <c r="B536" s="31">
        <v>46.9</v>
      </c>
      <c r="C536" s="1" t="s">
        <v>20</v>
      </c>
      <c r="D536" s="2">
        <v>42736</v>
      </c>
      <c r="E536" s="2">
        <v>42736</v>
      </c>
      <c r="F536" s="17">
        <v>1280000</v>
      </c>
      <c r="G536" s="17">
        <v>27292.11</v>
      </c>
      <c r="H536" s="1"/>
      <c r="I536" s="1" t="s">
        <v>21</v>
      </c>
      <c r="J536" s="1" t="s">
        <v>22</v>
      </c>
      <c r="K536" s="1"/>
      <c r="L536" s="1" t="s">
        <v>252</v>
      </c>
      <c r="M536" s="1"/>
      <c r="N536" s="1"/>
      <c r="O536" s="31">
        <v>4</v>
      </c>
      <c r="P536" s="31">
        <v>2</v>
      </c>
      <c r="Q536" s="32">
        <v>2016</v>
      </c>
    </row>
    <row r="537" spans="1:17" x14ac:dyDescent="0.25">
      <c r="A537" s="1" t="s">
        <v>271</v>
      </c>
      <c r="B537" s="31">
        <v>345.6</v>
      </c>
      <c r="C537" s="1" t="s">
        <v>20</v>
      </c>
      <c r="D537" s="2">
        <v>42736</v>
      </c>
      <c r="E537" s="2">
        <v>42736</v>
      </c>
      <c r="F537" s="17">
        <v>9444000</v>
      </c>
      <c r="G537" s="17">
        <v>27326.39</v>
      </c>
      <c r="H537" s="1"/>
      <c r="I537" s="1" t="s">
        <v>21</v>
      </c>
      <c r="J537" s="1" t="s">
        <v>280</v>
      </c>
      <c r="K537" s="1"/>
      <c r="L537" s="1" t="s">
        <v>252</v>
      </c>
      <c r="M537" s="1"/>
      <c r="N537" s="1"/>
      <c r="O537" s="31"/>
      <c r="P537" s="31">
        <v>1</v>
      </c>
      <c r="Q537" s="32">
        <v>2016</v>
      </c>
    </row>
    <row r="538" spans="1:17" x14ac:dyDescent="0.25">
      <c r="A538" s="1" t="s">
        <v>273</v>
      </c>
      <c r="B538" s="31">
        <v>38.4</v>
      </c>
      <c r="C538" s="1" t="s">
        <v>20</v>
      </c>
      <c r="D538" s="2">
        <v>42644</v>
      </c>
      <c r="E538" s="2">
        <v>42644</v>
      </c>
      <c r="F538" s="17">
        <v>1050000</v>
      </c>
      <c r="G538" s="17">
        <v>27343.75</v>
      </c>
      <c r="H538" s="1"/>
      <c r="I538" s="1" t="s">
        <v>21</v>
      </c>
      <c r="J538" s="1" t="s">
        <v>32</v>
      </c>
      <c r="K538" s="1"/>
      <c r="L538" s="1" t="s">
        <v>252</v>
      </c>
      <c r="M538" s="1"/>
      <c r="N538" s="1"/>
      <c r="O538" s="31">
        <v>5</v>
      </c>
      <c r="P538" s="31">
        <v>2</v>
      </c>
      <c r="Q538" s="32">
        <v>2004</v>
      </c>
    </row>
    <row r="539" spans="1:17" x14ac:dyDescent="0.25">
      <c r="A539" s="1" t="s">
        <v>273</v>
      </c>
      <c r="B539" s="31">
        <v>38.4</v>
      </c>
      <c r="C539" s="1" t="s">
        <v>20</v>
      </c>
      <c r="D539" s="2">
        <v>42644</v>
      </c>
      <c r="E539" s="2">
        <v>42644</v>
      </c>
      <c r="F539" s="17">
        <v>1050000</v>
      </c>
      <c r="G539" s="17">
        <v>27343.75</v>
      </c>
      <c r="H539" s="1"/>
      <c r="I539" s="1" t="s">
        <v>21</v>
      </c>
      <c r="J539" s="1" t="s">
        <v>32</v>
      </c>
      <c r="K539" s="1"/>
      <c r="L539" s="1" t="s">
        <v>252</v>
      </c>
      <c r="M539" s="1"/>
      <c r="N539" s="1"/>
      <c r="O539" s="31">
        <v>5</v>
      </c>
      <c r="P539" s="31">
        <v>2</v>
      </c>
      <c r="Q539" s="32">
        <v>2004</v>
      </c>
    </row>
    <row r="540" spans="1:17" x14ac:dyDescent="0.25">
      <c r="A540" s="1" t="s">
        <v>273</v>
      </c>
      <c r="B540" s="31">
        <v>35</v>
      </c>
      <c r="C540" s="1" t="s">
        <v>20</v>
      </c>
      <c r="D540" s="2">
        <v>42644</v>
      </c>
      <c r="E540" s="2">
        <v>42644</v>
      </c>
      <c r="F540" s="17">
        <v>960000</v>
      </c>
      <c r="G540" s="17">
        <v>27428.57</v>
      </c>
      <c r="H540" s="1"/>
      <c r="I540" s="1" t="s">
        <v>21</v>
      </c>
      <c r="J540" s="1" t="s">
        <v>32</v>
      </c>
      <c r="K540" s="1"/>
      <c r="L540" s="1" t="s">
        <v>252</v>
      </c>
      <c r="M540" s="1"/>
      <c r="N540" s="1" t="s">
        <v>118</v>
      </c>
      <c r="O540" s="31">
        <v>2</v>
      </c>
      <c r="P540" s="31">
        <v>1</v>
      </c>
      <c r="Q540" s="32">
        <v>2008</v>
      </c>
    </row>
    <row r="541" spans="1:17" x14ac:dyDescent="0.25">
      <c r="A541" s="1" t="s">
        <v>260</v>
      </c>
      <c r="B541" s="31">
        <v>44.5</v>
      </c>
      <c r="C541" s="1" t="s">
        <v>20</v>
      </c>
      <c r="D541" s="2">
        <v>42767</v>
      </c>
      <c r="E541" s="2">
        <v>42767</v>
      </c>
      <c r="F541" s="17">
        <v>1224000</v>
      </c>
      <c r="G541" s="17">
        <v>27505.62</v>
      </c>
      <c r="H541" s="1"/>
      <c r="I541" s="1" t="s">
        <v>21</v>
      </c>
      <c r="J541" s="1" t="s">
        <v>32</v>
      </c>
      <c r="K541" s="1"/>
      <c r="L541" s="1" t="s">
        <v>252</v>
      </c>
      <c r="M541" s="1"/>
      <c r="N541" s="1" t="s">
        <v>274</v>
      </c>
      <c r="O541" s="31">
        <v>5</v>
      </c>
      <c r="P541" s="31">
        <v>2</v>
      </c>
      <c r="Q541" s="32">
        <v>2004</v>
      </c>
    </row>
    <row r="542" spans="1:17" x14ac:dyDescent="0.25">
      <c r="A542" s="1" t="s">
        <v>260</v>
      </c>
      <c r="B542" s="31">
        <v>44.5</v>
      </c>
      <c r="C542" s="1" t="s">
        <v>20</v>
      </c>
      <c r="D542" s="2">
        <v>42767</v>
      </c>
      <c r="E542" s="2">
        <v>42767</v>
      </c>
      <c r="F542" s="17">
        <v>1224000</v>
      </c>
      <c r="G542" s="17">
        <v>27505.62</v>
      </c>
      <c r="H542" s="1"/>
      <c r="I542" s="1" t="s">
        <v>21</v>
      </c>
      <c r="J542" s="1" t="s">
        <v>32</v>
      </c>
      <c r="K542" s="1"/>
      <c r="L542" s="1" t="s">
        <v>252</v>
      </c>
      <c r="M542" s="1"/>
      <c r="N542" s="1" t="s">
        <v>274</v>
      </c>
      <c r="O542" s="31">
        <v>5</v>
      </c>
      <c r="P542" s="31">
        <v>2</v>
      </c>
      <c r="Q542" s="32">
        <v>2004</v>
      </c>
    </row>
    <row r="543" spans="1:17" x14ac:dyDescent="0.25">
      <c r="A543" s="1" t="s">
        <v>263</v>
      </c>
      <c r="B543" s="31">
        <v>53</v>
      </c>
      <c r="C543" s="1" t="s">
        <v>20</v>
      </c>
      <c r="D543" s="2">
        <v>42767</v>
      </c>
      <c r="E543" s="2">
        <v>42767</v>
      </c>
      <c r="F543" s="17">
        <v>1460000</v>
      </c>
      <c r="G543" s="17">
        <v>27547.17</v>
      </c>
      <c r="H543" s="1"/>
      <c r="I543" s="1" t="s">
        <v>21</v>
      </c>
      <c r="J543" s="1" t="s">
        <v>32</v>
      </c>
      <c r="K543" s="1"/>
      <c r="L543" s="1" t="s">
        <v>252</v>
      </c>
      <c r="M543" s="1"/>
      <c r="N543" s="1"/>
      <c r="O543" s="31">
        <v>7</v>
      </c>
      <c r="P543" s="31">
        <v>2</v>
      </c>
      <c r="Q543" s="32">
        <v>2005</v>
      </c>
    </row>
    <row r="544" spans="1:17" x14ac:dyDescent="0.25">
      <c r="A544" s="1" t="s">
        <v>263</v>
      </c>
      <c r="B544" s="31">
        <v>53</v>
      </c>
      <c r="C544" s="1" t="s">
        <v>20</v>
      </c>
      <c r="D544" s="2">
        <v>42767</v>
      </c>
      <c r="E544" s="2">
        <v>42767</v>
      </c>
      <c r="F544" s="17">
        <v>1460000</v>
      </c>
      <c r="G544" s="17">
        <v>27547.17</v>
      </c>
      <c r="H544" s="1"/>
      <c r="I544" s="1" t="s">
        <v>21</v>
      </c>
      <c r="J544" s="1" t="s">
        <v>32</v>
      </c>
      <c r="K544" s="1"/>
      <c r="L544" s="1" t="s">
        <v>252</v>
      </c>
      <c r="M544" s="1"/>
      <c r="N544" s="1"/>
      <c r="O544" s="31">
        <v>7</v>
      </c>
      <c r="P544" s="31">
        <v>2</v>
      </c>
      <c r="Q544" s="32">
        <v>2005</v>
      </c>
    </row>
    <row r="545" spans="1:17" x14ac:dyDescent="0.25">
      <c r="A545" s="1" t="s">
        <v>267</v>
      </c>
      <c r="B545" s="31">
        <v>58</v>
      </c>
      <c r="C545" s="1" t="s">
        <v>20</v>
      </c>
      <c r="D545" s="2">
        <v>42675</v>
      </c>
      <c r="E545" s="2">
        <v>42675</v>
      </c>
      <c r="F545" s="17">
        <v>1600000</v>
      </c>
      <c r="G545" s="17">
        <v>27586.21</v>
      </c>
      <c r="H545" s="1"/>
      <c r="I545" s="1" t="s">
        <v>21</v>
      </c>
      <c r="J545" s="1" t="s">
        <v>32</v>
      </c>
      <c r="K545" s="1"/>
      <c r="L545" s="1" t="s">
        <v>252</v>
      </c>
      <c r="M545" s="1"/>
      <c r="N545" s="1"/>
      <c r="O545" s="31">
        <v>2</v>
      </c>
      <c r="P545" s="31">
        <v>2</v>
      </c>
      <c r="Q545" s="32">
        <v>2012</v>
      </c>
    </row>
    <row r="546" spans="1:17" x14ac:dyDescent="0.25">
      <c r="A546" s="1" t="s">
        <v>267</v>
      </c>
      <c r="B546" s="31">
        <v>58</v>
      </c>
      <c r="C546" s="1" t="s">
        <v>20</v>
      </c>
      <c r="D546" s="2">
        <v>42675</v>
      </c>
      <c r="E546" s="2">
        <v>42675</v>
      </c>
      <c r="F546" s="17">
        <v>1600000</v>
      </c>
      <c r="G546" s="17">
        <v>27586.21</v>
      </c>
      <c r="H546" s="1"/>
      <c r="I546" s="1" t="s">
        <v>21</v>
      </c>
      <c r="J546" s="1" t="s">
        <v>32</v>
      </c>
      <c r="K546" s="1"/>
      <c r="L546" s="1" t="s">
        <v>252</v>
      </c>
      <c r="M546" s="1"/>
      <c r="N546" s="1"/>
      <c r="O546" s="31">
        <v>2</v>
      </c>
      <c r="P546" s="31">
        <v>2</v>
      </c>
      <c r="Q546" s="32">
        <v>2012</v>
      </c>
    </row>
    <row r="547" spans="1:17" x14ac:dyDescent="0.25">
      <c r="A547" s="1" t="s">
        <v>270</v>
      </c>
      <c r="B547" s="31">
        <v>30.8</v>
      </c>
      <c r="C547" s="1" t="s">
        <v>20</v>
      </c>
      <c r="D547" s="2">
        <v>42736</v>
      </c>
      <c r="E547" s="2">
        <v>42767</v>
      </c>
      <c r="F547" s="17">
        <v>850000</v>
      </c>
      <c r="G547" s="17">
        <v>27597.4</v>
      </c>
      <c r="H547" s="1"/>
      <c r="I547" s="1" t="s">
        <v>21</v>
      </c>
      <c r="J547" s="1" t="s">
        <v>32</v>
      </c>
      <c r="K547" s="1"/>
      <c r="L547" s="1" t="s">
        <v>252</v>
      </c>
      <c r="M547" s="1"/>
      <c r="N547" s="1" t="s">
        <v>118</v>
      </c>
      <c r="O547" s="31">
        <v>3</v>
      </c>
      <c r="P547" s="31">
        <v>2</v>
      </c>
      <c r="Q547" s="32">
        <v>2000</v>
      </c>
    </row>
    <row r="548" spans="1:17" x14ac:dyDescent="0.25">
      <c r="A548" s="1" t="s">
        <v>270</v>
      </c>
      <c r="B548" s="31">
        <v>30.8</v>
      </c>
      <c r="C548" s="1" t="s">
        <v>20</v>
      </c>
      <c r="D548" s="2">
        <v>42736</v>
      </c>
      <c r="E548" s="2">
        <v>42767</v>
      </c>
      <c r="F548" s="17">
        <v>850000</v>
      </c>
      <c r="G548" s="17">
        <v>27597.4</v>
      </c>
      <c r="H548" s="1"/>
      <c r="I548" s="1" t="s">
        <v>21</v>
      </c>
      <c r="J548" s="1" t="s">
        <v>32</v>
      </c>
      <c r="K548" s="1"/>
      <c r="L548" s="1" t="s">
        <v>252</v>
      </c>
      <c r="M548" s="1"/>
      <c r="N548" s="1" t="s">
        <v>118</v>
      </c>
      <c r="O548" s="31">
        <v>3</v>
      </c>
      <c r="P548" s="31">
        <v>2</v>
      </c>
      <c r="Q548" s="32">
        <v>2000</v>
      </c>
    </row>
    <row r="549" spans="1:17" x14ac:dyDescent="0.25">
      <c r="A549" s="1" t="s">
        <v>268</v>
      </c>
      <c r="B549" s="31">
        <v>48.4</v>
      </c>
      <c r="C549" s="1" t="s">
        <v>20</v>
      </c>
      <c r="D549" s="2">
        <v>42675</v>
      </c>
      <c r="E549" s="2">
        <v>42675</v>
      </c>
      <c r="F549" s="17">
        <v>1343000</v>
      </c>
      <c r="G549" s="17">
        <v>27747.93</v>
      </c>
      <c r="H549" s="1"/>
      <c r="I549" s="1" t="s">
        <v>21</v>
      </c>
      <c r="J549" s="1" t="s">
        <v>32</v>
      </c>
      <c r="K549" s="1"/>
      <c r="L549" s="1" t="s">
        <v>252</v>
      </c>
      <c r="M549" s="1"/>
      <c r="N549" s="1" t="s">
        <v>269</v>
      </c>
      <c r="O549" s="31">
        <v>2</v>
      </c>
      <c r="P549" s="31">
        <v>2</v>
      </c>
      <c r="Q549" s="32">
        <v>2007</v>
      </c>
    </row>
    <row r="550" spans="1:17" x14ac:dyDescent="0.25">
      <c r="A550" s="1" t="s">
        <v>268</v>
      </c>
      <c r="B550" s="31">
        <v>48.4</v>
      </c>
      <c r="C550" s="1" t="s">
        <v>20</v>
      </c>
      <c r="D550" s="2">
        <v>42675</v>
      </c>
      <c r="E550" s="2">
        <v>42675</v>
      </c>
      <c r="F550" s="17">
        <v>1343000</v>
      </c>
      <c r="G550" s="17">
        <v>27747.93</v>
      </c>
      <c r="H550" s="1"/>
      <c r="I550" s="1" t="s">
        <v>21</v>
      </c>
      <c r="J550" s="1" t="s">
        <v>32</v>
      </c>
      <c r="K550" s="1"/>
      <c r="L550" s="1" t="s">
        <v>252</v>
      </c>
      <c r="M550" s="1"/>
      <c r="N550" s="1" t="s">
        <v>269</v>
      </c>
      <c r="O550" s="31">
        <v>2</v>
      </c>
      <c r="P550" s="31">
        <v>2</v>
      </c>
      <c r="Q550" s="32">
        <v>2007</v>
      </c>
    </row>
    <row r="551" spans="1:17" x14ac:dyDescent="0.25">
      <c r="A551" s="1" t="s">
        <v>259</v>
      </c>
      <c r="B551" s="31">
        <v>50.3</v>
      </c>
      <c r="C551" s="1" t="s">
        <v>20</v>
      </c>
      <c r="D551" s="2">
        <v>42644</v>
      </c>
      <c r="E551" s="2">
        <v>42644</v>
      </c>
      <c r="F551" s="17">
        <v>1400000</v>
      </c>
      <c r="G551" s="17">
        <v>27833</v>
      </c>
      <c r="H551" s="1"/>
      <c r="I551" s="1" t="s">
        <v>21</v>
      </c>
      <c r="J551" s="1" t="s">
        <v>22</v>
      </c>
      <c r="K551" s="1"/>
      <c r="L551" s="1" t="s">
        <v>252</v>
      </c>
      <c r="M551" s="1"/>
      <c r="N551" s="1"/>
      <c r="O551" s="31">
        <v>8</v>
      </c>
      <c r="P551" s="31">
        <v>2</v>
      </c>
      <c r="Q551" s="32">
        <v>2016</v>
      </c>
    </row>
    <row r="552" spans="1:17" x14ac:dyDescent="0.25">
      <c r="A552" s="1" t="s">
        <v>259</v>
      </c>
      <c r="B552" s="31">
        <v>50.3</v>
      </c>
      <c r="C552" s="1" t="s">
        <v>20</v>
      </c>
      <c r="D552" s="2">
        <v>42644</v>
      </c>
      <c r="E552" s="2">
        <v>42644</v>
      </c>
      <c r="F552" s="17">
        <v>1400000</v>
      </c>
      <c r="G552" s="17">
        <v>27833</v>
      </c>
      <c r="H552" s="1"/>
      <c r="I552" s="1" t="s">
        <v>21</v>
      </c>
      <c r="J552" s="1" t="s">
        <v>22</v>
      </c>
      <c r="K552" s="1"/>
      <c r="L552" s="1" t="s">
        <v>252</v>
      </c>
      <c r="M552" s="1"/>
      <c r="N552" s="1"/>
      <c r="O552" s="31">
        <v>8</v>
      </c>
      <c r="P552" s="31">
        <v>2</v>
      </c>
      <c r="Q552" s="32">
        <v>2016</v>
      </c>
    </row>
    <row r="553" spans="1:17" x14ac:dyDescent="0.25">
      <c r="A553" s="1" t="s">
        <v>277</v>
      </c>
      <c r="B553" s="31">
        <v>50.3</v>
      </c>
      <c r="C553" s="1" t="s">
        <v>20</v>
      </c>
      <c r="D553" s="2">
        <v>42644</v>
      </c>
      <c r="E553" s="2">
        <v>42644</v>
      </c>
      <c r="F553" s="17">
        <v>1400000</v>
      </c>
      <c r="G553" s="17">
        <v>27833</v>
      </c>
      <c r="H553" s="1"/>
      <c r="I553" s="1" t="s">
        <v>21</v>
      </c>
      <c r="J553" s="1" t="s">
        <v>32</v>
      </c>
      <c r="K553" s="1"/>
      <c r="L553" s="1" t="s">
        <v>252</v>
      </c>
      <c r="M553" s="1"/>
      <c r="N553" s="1" t="s">
        <v>254</v>
      </c>
      <c r="O553" s="31">
        <v>2</v>
      </c>
      <c r="P553" s="31">
        <v>2</v>
      </c>
      <c r="Q553" s="32">
        <v>2011</v>
      </c>
    </row>
    <row r="554" spans="1:17" x14ac:dyDescent="0.25">
      <c r="A554" s="1" t="s">
        <v>277</v>
      </c>
      <c r="B554" s="31">
        <v>50.3</v>
      </c>
      <c r="C554" s="1" t="s">
        <v>20</v>
      </c>
      <c r="D554" s="2">
        <v>42644</v>
      </c>
      <c r="E554" s="2">
        <v>42644</v>
      </c>
      <c r="F554" s="17">
        <v>1400000</v>
      </c>
      <c r="G554" s="17">
        <v>27833</v>
      </c>
      <c r="H554" s="1"/>
      <c r="I554" s="1" t="s">
        <v>21</v>
      </c>
      <c r="J554" s="1" t="s">
        <v>32</v>
      </c>
      <c r="K554" s="1"/>
      <c r="L554" s="1" t="s">
        <v>252</v>
      </c>
      <c r="M554" s="1"/>
      <c r="N554" s="1" t="s">
        <v>254</v>
      </c>
      <c r="O554" s="31">
        <v>2</v>
      </c>
      <c r="P554" s="31">
        <v>2</v>
      </c>
      <c r="Q554" s="32">
        <v>2011</v>
      </c>
    </row>
    <row r="555" spans="1:17" x14ac:dyDescent="0.25">
      <c r="A555" s="1" t="s">
        <v>267</v>
      </c>
      <c r="B555" s="31">
        <v>64.099999999999994</v>
      </c>
      <c r="C555" s="1" t="s">
        <v>20</v>
      </c>
      <c r="D555" s="2">
        <v>42705</v>
      </c>
      <c r="E555" s="2">
        <v>42705</v>
      </c>
      <c r="F555" s="17">
        <v>1785000</v>
      </c>
      <c r="G555" s="17">
        <v>27847.11</v>
      </c>
      <c r="H555" s="1"/>
      <c r="I555" s="1" t="s">
        <v>21</v>
      </c>
      <c r="J555" s="1" t="s">
        <v>22</v>
      </c>
      <c r="K555" s="1"/>
      <c r="L555" s="1" t="s">
        <v>252</v>
      </c>
      <c r="M555" s="1"/>
      <c r="N555" s="1"/>
      <c r="O555" s="31">
        <v>10</v>
      </c>
      <c r="P555" s="31">
        <v>1</v>
      </c>
      <c r="Q555" s="32">
        <v>2016</v>
      </c>
    </row>
    <row r="556" spans="1:17" x14ac:dyDescent="0.25">
      <c r="A556" s="1" t="s">
        <v>266</v>
      </c>
      <c r="B556" s="31">
        <v>35.9</v>
      </c>
      <c r="C556" s="1" t="s">
        <v>20</v>
      </c>
      <c r="D556" s="2">
        <v>42705</v>
      </c>
      <c r="E556" s="2">
        <v>42705</v>
      </c>
      <c r="F556" s="17">
        <v>1000000</v>
      </c>
      <c r="G556" s="17">
        <v>27855.15</v>
      </c>
      <c r="H556" s="1"/>
      <c r="I556" s="1" t="s">
        <v>21</v>
      </c>
      <c r="J556" s="1" t="s">
        <v>32</v>
      </c>
      <c r="K556" s="1"/>
      <c r="L556" s="1" t="s">
        <v>252</v>
      </c>
      <c r="M556" s="1"/>
      <c r="N556" s="1" t="s">
        <v>265</v>
      </c>
      <c r="O556" s="31">
        <v>1</v>
      </c>
      <c r="P556" s="31">
        <v>1</v>
      </c>
      <c r="Q556" s="32">
        <v>2006</v>
      </c>
    </row>
    <row r="557" spans="1:17" x14ac:dyDescent="0.25">
      <c r="A557" s="1" t="s">
        <v>253</v>
      </c>
      <c r="B557" s="31">
        <v>44.2</v>
      </c>
      <c r="C557" s="1" t="s">
        <v>20</v>
      </c>
      <c r="D557" s="2">
        <v>42644</v>
      </c>
      <c r="E557" s="2">
        <v>42675</v>
      </c>
      <c r="F557" s="17">
        <v>1232500</v>
      </c>
      <c r="G557" s="17">
        <v>27884.62</v>
      </c>
      <c r="H557" s="1"/>
      <c r="I557" s="1" t="s">
        <v>21</v>
      </c>
      <c r="J557" s="1" t="s">
        <v>32</v>
      </c>
      <c r="K557" s="1"/>
      <c r="L557" s="1" t="s">
        <v>252</v>
      </c>
      <c r="M557" s="1"/>
      <c r="N557" s="1" t="s">
        <v>265</v>
      </c>
      <c r="O557" s="31">
        <v>4</v>
      </c>
      <c r="P557" s="31">
        <v>2</v>
      </c>
      <c r="Q557" s="32">
        <v>2001</v>
      </c>
    </row>
    <row r="558" spans="1:17" x14ac:dyDescent="0.25">
      <c r="A558" s="1" t="s">
        <v>253</v>
      </c>
      <c r="B558" s="31">
        <v>44.2</v>
      </c>
      <c r="C558" s="1" t="s">
        <v>20</v>
      </c>
      <c r="D558" s="2">
        <v>42644</v>
      </c>
      <c r="E558" s="2">
        <v>42675</v>
      </c>
      <c r="F558" s="17">
        <v>1232500</v>
      </c>
      <c r="G558" s="17">
        <v>27884.62</v>
      </c>
      <c r="H558" s="1"/>
      <c r="I558" s="1" t="s">
        <v>21</v>
      </c>
      <c r="J558" s="1" t="s">
        <v>32</v>
      </c>
      <c r="K558" s="1"/>
      <c r="L558" s="1" t="s">
        <v>252</v>
      </c>
      <c r="M558" s="1"/>
      <c r="N558" s="1" t="s">
        <v>265</v>
      </c>
      <c r="O558" s="31">
        <v>4</v>
      </c>
      <c r="P558" s="31">
        <v>2</v>
      </c>
      <c r="Q558" s="32">
        <v>2001</v>
      </c>
    </row>
    <row r="559" spans="1:17" x14ac:dyDescent="0.25">
      <c r="A559" s="1" t="s">
        <v>261</v>
      </c>
      <c r="B559" s="31">
        <v>27.6</v>
      </c>
      <c r="C559" s="1" t="s">
        <v>20</v>
      </c>
      <c r="D559" s="2">
        <v>42675</v>
      </c>
      <c r="E559" s="2">
        <v>42705</v>
      </c>
      <c r="F559" s="17">
        <v>770000</v>
      </c>
      <c r="G559" s="17">
        <v>27898.55</v>
      </c>
      <c r="H559" s="1"/>
      <c r="I559" s="1" t="s">
        <v>21</v>
      </c>
      <c r="J559" s="1" t="s">
        <v>22</v>
      </c>
      <c r="K559" s="1"/>
      <c r="L559" s="1" t="s">
        <v>252</v>
      </c>
      <c r="M559" s="1"/>
      <c r="N559" s="1"/>
      <c r="O559" s="31">
        <v>7</v>
      </c>
      <c r="P559" s="31">
        <v>1</v>
      </c>
      <c r="Q559" s="32">
        <v>2016</v>
      </c>
    </row>
    <row r="560" spans="1:17" x14ac:dyDescent="0.25">
      <c r="A560" s="1" t="s">
        <v>262</v>
      </c>
      <c r="B560" s="31">
        <v>35.799999999999997</v>
      </c>
      <c r="C560" s="1" t="s">
        <v>20</v>
      </c>
      <c r="D560" s="2">
        <v>42675</v>
      </c>
      <c r="E560" s="2">
        <v>42675</v>
      </c>
      <c r="F560" s="17">
        <v>1000000</v>
      </c>
      <c r="G560" s="17">
        <v>27932.959999999999</v>
      </c>
      <c r="H560" s="1"/>
      <c r="I560" s="1" t="s">
        <v>21</v>
      </c>
      <c r="J560" s="1" t="s">
        <v>32</v>
      </c>
      <c r="K560" s="1"/>
      <c r="L560" s="1" t="s">
        <v>252</v>
      </c>
      <c r="M560" s="1"/>
      <c r="N560" s="1"/>
      <c r="O560" s="31">
        <v>5</v>
      </c>
      <c r="P560" s="31">
        <v>1</v>
      </c>
      <c r="Q560" s="32">
        <v>1999</v>
      </c>
    </row>
    <row r="561" spans="1:17" x14ac:dyDescent="0.25">
      <c r="A561" s="1" t="s">
        <v>273</v>
      </c>
      <c r="B561" s="31">
        <v>35.799999999999997</v>
      </c>
      <c r="C561" s="1" t="s">
        <v>20</v>
      </c>
      <c r="D561" s="2">
        <v>42705</v>
      </c>
      <c r="E561" s="2">
        <v>42705</v>
      </c>
      <c r="F561" s="17">
        <v>1000000</v>
      </c>
      <c r="G561" s="17">
        <v>27932.959999999999</v>
      </c>
      <c r="H561" s="1"/>
      <c r="I561" s="1" t="s">
        <v>21</v>
      </c>
      <c r="J561" s="1" t="s">
        <v>32</v>
      </c>
      <c r="K561" s="1"/>
      <c r="L561" s="1" t="s">
        <v>252</v>
      </c>
      <c r="M561" s="1"/>
      <c r="N561" s="1"/>
      <c r="O561" s="31">
        <v>4</v>
      </c>
      <c r="P561" s="31">
        <v>1</v>
      </c>
      <c r="Q561" s="32">
        <v>2005</v>
      </c>
    </row>
    <row r="562" spans="1:17" x14ac:dyDescent="0.25">
      <c r="A562" s="1" t="s">
        <v>270</v>
      </c>
      <c r="B562" s="31">
        <v>56.5</v>
      </c>
      <c r="C562" s="1" t="s">
        <v>20</v>
      </c>
      <c r="D562" s="2">
        <v>42767</v>
      </c>
      <c r="E562" s="2">
        <v>42767</v>
      </c>
      <c r="F562" s="17">
        <v>1580000</v>
      </c>
      <c r="G562" s="17">
        <v>27964.6</v>
      </c>
      <c r="H562" s="1"/>
      <c r="I562" s="1" t="s">
        <v>21</v>
      </c>
      <c r="J562" s="1" t="s">
        <v>32</v>
      </c>
      <c r="K562" s="1"/>
      <c r="L562" s="1" t="s">
        <v>252</v>
      </c>
      <c r="M562" s="1"/>
      <c r="N562" s="1"/>
      <c r="O562" s="31">
        <v>7</v>
      </c>
      <c r="P562" s="31">
        <v>2</v>
      </c>
      <c r="Q562" s="32">
        <v>2001</v>
      </c>
    </row>
    <row r="563" spans="1:17" x14ac:dyDescent="0.25">
      <c r="A563" s="1" t="s">
        <v>270</v>
      </c>
      <c r="B563" s="31">
        <v>56.5</v>
      </c>
      <c r="C563" s="1" t="s">
        <v>20</v>
      </c>
      <c r="D563" s="2">
        <v>42767</v>
      </c>
      <c r="E563" s="2">
        <v>42767</v>
      </c>
      <c r="F563" s="17">
        <v>1580000</v>
      </c>
      <c r="G563" s="17">
        <v>27964.6</v>
      </c>
      <c r="H563" s="1"/>
      <c r="I563" s="1" t="s">
        <v>21</v>
      </c>
      <c r="J563" s="1" t="s">
        <v>32</v>
      </c>
      <c r="K563" s="1"/>
      <c r="L563" s="1" t="s">
        <v>252</v>
      </c>
      <c r="M563" s="1"/>
      <c r="N563" s="1"/>
      <c r="O563" s="31">
        <v>7</v>
      </c>
      <c r="P563" s="31">
        <v>2</v>
      </c>
      <c r="Q563" s="32">
        <v>2001</v>
      </c>
    </row>
    <row r="564" spans="1:17" x14ac:dyDescent="0.25">
      <c r="A564" s="1" t="s">
        <v>273</v>
      </c>
      <c r="B564" s="31">
        <v>53.5</v>
      </c>
      <c r="C564" s="1" t="s">
        <v>20</v>
      </c>
      <c r="D564" s="2">
        <v>42675</v>
      </c>
      <c r="E564" s="2">
        <v>42675</v>
      </c>
      <c r="F564" s="17">
        <v>1500000</v>
      </c>
      <c r="G564" s="17">
        <v>28037.38</v>
      </c>
      <c r="H564" s="1"/>
      <c r="I564" s="1" t="s">
        <v>21</v>
      </c>
      <c r="J564" s="1" t="s">
        <v>32</v>
      </c>
      <c r="K564" s="1"/>
      <c r="L564" s="1" t="s">
        <v>252</v>
      </c>
      <c r="M564" s="1"/>
      <c r="N564" s="1"/>
      <c r="O564" s="31">
        <v>2</v>
      </c>
      <c r="P564" s="31">
        <v>1</v>
      </c>
      <c r="Q564" s="32">
        <v>2000</v>
      </c>
    </row>
    <row r="565" spans="1:17" x14ac:dyDescent="0.25">
      <c r="A565" s="1" t="s">
        <v>268</v>
      </c>
      <c r="B565" s="31">
        <v>54.5</v>
      </c>
      <c r="C565" s="1" t="s">
        <v>20</v>
      </c>
      <c r="D565" s="2">
        <v>42736</v>
      </c>
      <c r="E565" s="2">
        <v>42736</v>
      </c>
      <c r="F565" s="17">
        <v>1530000</v>
      </c>
      <c r="G565" s="17">
        <v>28073.39</v>
      </c>
      <c r="H565" s="1"/>
      <c r="I565" s="1" t="s">
        <v>21</v>
      </c>
      <c r="J565" s="1" t="s">
        <v>32</v>
      </c>
      <c r="K565" s="1"/>
      <c r="L565" s="1" t="s">
        <v>252</v>
      </c>
      <c r="M565" s="1"/>
      <c r="N565" s="1" t="s">
        <v>258</v>
      </c>
      <c r="O565" s="31">
        <v>4</v>
      </c>
      <c r="P565" s="31">
        <v>1</v>
      </c>
      <c r="Q565" s="32">
        <v>2013</v>
      </c>
    </row>
    <row r="566" spans="1:17" x14ac:dyDescent="0.25">
      <c r="A566" s="1" t="s">
        <v>264</v>
      </c>
      <c r="B566" s="31">
        <v>59.8</v>
      </c>
      <c r="C566" s="1" t="s">
        <v>20</v>
      </c>
      <c r="D566" s="2">
        <v>42767</v>
      </c>
      <c r="E566" s="2">
        <v>42767</v>
      </c>
      <c r="F566" s="17">
        <v>1680000</v>
      </c>
      <c r="G566" s="17">
        <v>28093.65</v>
      </c>
      <c r="H566" s="1"/>
      <c r="I566" s="1" t="s">
        <v>21</v>
      </c>
      <c r="J566" s="1" t="s">
        <v>32</v>
      </c>
      <c r="K566" s="1"/>
      <c r="L566" s="1" t="s">
        <v>252</v>
      </c>
      <c r="M566" s="1"/>
      <c r="N566" s="1"/>
      <c r="O566" s="31">
        <v>3</v>
      </c>
      <c r="P566" s="31">
        <v>1</v>
      </c>
      <c r="Q566" s="32">
        <v>2003</v>
      </c>
    </row>
    <row r="567" spans="1:17" x14ac:dyDescent="0.25">
      <c r="A567" s="1" t="s">
        <v>268</v>
      </c>
      <c r="B567" s="31">
        <v>41</v>
      </c>
      <c r="C567" s="1" t="s">
        <v>20</v>
      </c>
      <c r="D567" s="2">
        <v>42705</v>
      </c>
      <c r="E567" s="2">
        <v>42736</v>
      </c>
      <c r="F567" s="17">
        <v>1152000</v>
      </c>
      <c r="G567" s="17">
        <v>28097.56</v>
      </c>
      <c r="H567" s="1"/>
      <c r="I567" s="1" t="s">
        <v>21</v>
      </c>
      <c r="J567" s="1" t="s">
        <v>32</v>
      </c>
      <c r="K567" s="1"/>
      <c r="L567" s="1" t="s">
        <v>252</v>
      </c>
      <c r="M567" s="1"/>
      <c r="N567" s="1" t="s">
        <v>265</v>
      </c>
      <c r="O567" s="31">
        <v>4</v>
      </c>
      <c r="P567" s="31">
        <v>1</v>
      </c>
      <c r="Q567" s="32">
        <v>2001</v>
      </c>
    </row>
    <row r="568" spans="1:17" x14ac:dyDescent="0.25">
      <c r="A568" s="1" t="s">
        <v>264</v>
      </c>
      <c r="B568" s="31">
        <v>45.5</v>
      </c>
      <c r="C568" s="1" t="s">
        <v>20</v>
      </c>
      <c r="D568" s="2">
        <v>42675</v>
      </c>
      <c r="E568" s="2">
        <v>42675</v>
      </c>
      <c r="F568" s="17">
        <v>1280000</v>
      </c>
      <c r="G568" s="17">
        <v>28131.87</v>
      </c>
      <c r="H568" s="1"/>
      <c r="I568" s="1" t="s">
        <v>21</v>
      </c>
      <c r="J568" s="1" t="s">
        <v>32</v>
      </c>
      <c r="K568" s="1"/>
      <c r="L568" s="1" t="s">
        <v>252</v>
      </c>
      <c r="M568" s="1"/>
      <c r="N568" s="1"/>
      <c r="O568" s="31">
        <v>3</v>
      </c>
      <c r="P568" s="31">
        <v>1</v>
      </c>
      <c r="Q568" s="32">
        <v>2007</v>
      </c>
    </row>
    <row r="569" spans="1:17" x14ac:dyDescent="0.25">
      <c r="A569" s="1" t="s">
        <v>263</v>
      </c>
      <c r="B569" s="31">
        <v>49.6</v>
      </c>
      <c r="C569" s="1" t="s">
        <v>20</v>
      </c>
      <c r="D569" s="2">
        <v>42705</v>
      </c>
      <c r="E569" s="2">
        <v>42736</v>
      </c>
      <c r="F569" s="17">
        <v>1400000</v>
      </c>
      <c r="G569" s="17">
        <v>28225.81</v>
      </c>
      <c r="H569" s="1"/>
      <c r="I569" s="1" t="s">
        <v>21</v>
      </c>
      <c r="J569" s="1" t="s">
        <v>32</v>
      </c>
      <c r="K569" s="1"/>
      <c r="L569" s="1" t="s">
        <v>252</v>
      </c>
      <c r="M569" s="1"/>
      <c r="N569" s="1" t="s">
        <v>265</v>
      </c>
      <c r="O569" s="31">
        <v>3</v>
      </c>
      <c r="P569" s="31">
        <v>1</v>
      </c>
      <c r="Q569" s="32">
        <v>2001</v>
      </c>
    </row>
    <row r="570" spans="1:17" x14ac:dyDescent="0.25">
      <c r="A570" s="1" t="s">
        <v>268</v>
      </c>
      <c r="B570" s="31">
        <v>71.099999999999994</v>
      </c>
      <c r="C570" s="1" t="s">
        <v>20</v>
      </c>
      <c r="D570" s="2">
        <v>42736</v>
      </c>
      <c r="E570" s="2">
        <v>42767</v>
      </c>
      <c r="F570" s="17">
        <v>2008407.86</v>
      </c>
      <c r="G570" s="17">
        <v>28247.65</v>
      </c>
      <c r="H570" s="1"/>
      <c r="I570" s="1" t="s">
        <v>21</v>
      </c>
      <c r="J570" s="1" t="s">
        <v>32</v>
      </c>
      <c r="K570" s="1"/>
      <c r="L570" s="1" t="s">
        <v>252</v>
      </c>
      <c r="M570" s="1"/>
      <c r="N570" s="1" t="s">
        <v>130</v>
      </c>
      <c r="O570" s="31">
        <v>9</v>
      </c>
      <c r="P570" s="31">
        <v>1</v>
      </c>
      <c r="Q570" s="32">
        <v>2010</v>
      </c>
    </row>
    <row r="571" spans="1:17" x14ac:dyDescent="0.25">
      <c r="A571" s="1" t="s">
        <v>262</v>
      </c>
      <c r="B571" s="31">
        <v>70.3</v>
      </c>
      <c r="C571" s="1" t="s">
        <v>20</v>
      </c>
      <c r="D571" s="2">
        <v>42767</v>
      </c>
      <c r="E571" s="2">
        <v>42767</v>
      </c>
      <c r="F571" s="17">
        <v>1990000</v>
      </c>
      <c r="G571" s="17">
        <v>28307.25</v>
      </c>
      <c r="H571" s="1"/>
      <c r="I571" s="1" t="s">
        <v>21</v>
      </c>
      <c r="J571" s="1" t="s">
        <v>32</v>
      </c>
      <c r="K571" s="1"/>
      <c r="L571" s="1" t="s">
        <v>252</v>
      </c>
      <c r="M571" s="1"/>
      <c r="N571" s="1"/>
      <c r="O571" s="31">
        <v>4</v>
      </c>
      <c r="P571" s="31">
        <v>2</v>
      </c>
      <c r="Q571" s="32">
        <v>2002</v>
      </c>
    </row>
    <row r="572" spans="1:17" x14ac:dyDescent="0.25">
      <c r="A572" s="1" t="s">
        <v>262</v>
      </c>
      <c r="B572" s="31">
        <v>70.3</v>
      </c>
      <c r="C572" s="1" t="s">
        <v>20</v>
      </c>
      <c r="D572" s="2">
        <v>42767</v>
      </c>
      <c r="E572" s="2">
        <v>42767</v>
      </c>
      <c r="F572" s="17">
        <v>1990000</v>
      </c>
      <c r="G572" s="17">
        <v>28307.25</v>
      </c>
      <c r="H572" s="1"/>
      <c r="I572" s="1" t="s">
        <v>21</v>
      </c>
      <c r="J572" s="1" t="s">
        <v>32</v>
      </c>
      <c r="K572" s="1"/>
      <c r="L572" s="1" t="s">
        <v>252</v>
      </c>
      <c r="M572" s="1"/>
      <c r="N572" s="1"/>
      <c r="O572" s="31">
        <v>4</v>
      </c>
      <c r="P572" s="31">
        <v>2</v>
      </c>
      <c r="Q572" s="32">
        <v>2002</v>
      </c>
    </row>
    <row r="573" spans="1:17" x14ac:dyDescent="0.25">
      <c r="A573" s="1" t="s">
        <v>273</v>
      </c>
      <c r="B573" s="31">
        <v>66.2</v>
      </c>
      <c r="C573" s="1" t="s">
        <v>20</v>
      </c>
      <c r="D573" s="2">
        <v>42675</v>
      </c>
      <c r="E573" s="2">
        <v>42675</v>
      </c>
      <c r="F573" s="17">
        <v>1880000</v>
      </c>
      <c r="G573" s="17">
        <v>28398.79</v>
      </c>
      <c r="H573" s="1"/>
      <c r="I573" s="1" t="s">
        <v>21</v>
      </c>
      <c r="J573" s="1" t="s">
        <v>32</v>
      </c>
      <c r="K573" s="1"/>
      <c r="L573" s="1" t="s">
        <v>252</v>
      </c>
      <c r="M573" s="1"/>
      <c r="N573" s="1"/>
      <c r="O573" s="31">
        <v>1</v>
      </c>
      <c r="P573" s="31">
        <v>1</v>
      </c>
      <c r="Q573" s="32">
        <v>2006</v>
      </c>
    </row>
    <row r="574" spans="1:17" x14ac:dyDescent="0.25">
      <c r="A574" s="1" t="s">
        <v>271</v>
      </c>
      <c r="B574" s="31">
        <v>50.9</v>
      </c>
      <c r="C574" s="1" t="s">
        <v>20</v>
      </c>
      <c r="D574" s="2">
        <v>42644</v>
      </c>
      <c r="E574" s="2">
        <v>42675</v>
      </c>
      <c r="F574" s="17">
        <v>1450000</v>
      </c>
      <c r="G574" s="17">
        <v>28487.23</v>
      </c>
      <c r="H574" s="1"/>
      <c r="I574" s="1" t="s">
        <v>21</v>
      </c>
      <c r="J574" s="1" t="s">
        <v>32</v>
      </c>
      <c r="K574" s="1"/>
      <c r="L574" s="1" t="s">
        <v>252</v>
      </c>
      <c r="M574" s="1"/>
      <c r="N574" s="1" t="s">
        <v>257</v>
      </c>
      <c r="O574" s="31">
        <v>2</v>
      </c>
      <c r="P574" s="31">
        <v>2</v>
      </c>
      <c r="Q574" s="32">
        <v>2007</v>
      </c>
    </row>
    <row r="575" spans="1:17" x14ac:dyDescent="0.25">
      <c r="A575" s="1" t="s">
        <v>271</v>
      </c>
      <c r="B575" s="31">
        <v>50.9</v>
      </c>
      <c r="C575" s="1" t="s">
        <v>20</v>
      </c>
      <c r="D575" s="2">
        <v>42644</v>
      </c>
      <c r="E575" s="2">
        <v>42675</v>
      </c>
      <c r="F575" s="17">
        <v>1450000</v>
      </c>
      <c r="G575" s="17">
        <v>28487.23</v>
      </c>
      <c r="H575" s="1"/>
      <c r="I575" s="1" t="s">
        <v>21</v>
      </c>
      <c r="J575" s="1" t="s">
        <v>32</v>
      </c>
      <c r="K575" s="1"/>
      <c r="L575" s="1" t="s">
        <v>252</v>
      </c>
      <c r="M575" s="1"/>
      <c r="N575" s="1" t="s">
        <v>257</v>
      </c>
      <c r="O575" s="31">
        <v>2</v>
      </c>
      <c r="P575" s="31">
        <v>2</v>
      </c>
      <c r="Q575" s="32">
        <v>2007</v>
      </c>
    </row>
    <row r="576" spans="1:17" x14ac:dyDescent="0.25">
      <c r="A576" s="1" t="s">
        <v>271</v>
      </c>
      <c r="B576" s="31">
        <v>44.8</v>
      </c>
      <c r="C576" s="1" t="s">
        <v>20</v>
      </c>
      <c r="D576" s="2">
        <v>42767</v>
      </c>
      <c r="E576" s="2">
        <v>42795</v>
      </c>
      <c r="F576" s="17">
        <v>1280000</v>
      </c>
      <c r="G576" s="17">
        <v>28571.43</v>
      </c>
      <c r="H576" s="1"/>
      <c r="I576" s="1" t="s">
        <v>21</v>
      </c>
      <c r="J576" s="1" t="s">
        <v>32</v>
      </c>
      <c r="K576" s="1"/>
      <c r="L576" s="1" t="s">
        <v>252</v>
      </c>
      <c r="M576" s="1"/>
      <c r="N576" s="1"/>
      <c r="O576" s="31">
        <v>5</v>
      </c>
      <c r="P576" s="31">
        <v>1</v>
      </c>
      <c r="Q576" s="32">
        <v>2011</v>
      </c>
    </row>
    <row r="577" spans="1:17" x14ac:dyDescent="0.25">
      <c r="A577" s="1" t="s">
        <v>268</v>
      </c>
      <c r="B577" s="31">
        <v>41.9</v>
      </c>
      <c r="C577" s="1" t="s">
        <v>20</v>
      </c>
      <c r="D577" s="2">
        <v>42705</v>
      </c>
      <c r="E577" s="2">
        <v>42705</v>
      </c>
      <c r="F577" s="17">
        <v>1200000</v>
      </c>
      <c r="G577" s="17">
        <v>28639.62</v>
      </c>
      <c r="H577" s="1"/>
      <c r="I577" s="1" t="s">
        <v>21</v>
      </c>
      <c r="J577" s="1" t="s">
        <v>32</v>
      </c>
      <c r="K577" s="1"/>
      <c r="L577" s="1" t="s">
        <v>252</v>
      </c>
      <c r="M577" s="1"/>
      <c r="N577" s="1" t="s">
        <v>130</v>
      </c>
      <c r="O577" s="31">
        <v>1</v>
      </c>
      <c r="P577" s="31">
        <v>1</v>
      </c>
      <c r="Q577" s="32">
        <v>2008</v>
      </c>
    </row>
    <row r="578" spans="1:17" x14ac:dyDescent="0.25">
      <c r="A578" s="1" t="s">
        <v>266</v>
      </c>
      <c r="B578" s="31">
        <v>34.9</v>
      </c>
      <c r="C578" s="1" t="s">
        <v>20</v>
      </c>
      <c r="D578" s="2">
        <v>42736</v>
      </c>
      <c r="E578" s="2">
        <v>42736</v>
      </c>
      <c r="F578" s="17">
        <v>1000000</v>
      </c>
      <c r="G578" s="17">
        <v>28653.3</v>
      </c>
      <c r="H578" s="1"/>
      <c r="I578" s="1" t="s">
        <v>21</v>
      </c>
      <c r="J578" s="1" t="s">
        <v>32</v>
      </c>
      <c r="K578" s="1"/>
      <c r="L578" s="1" t="s">
        <v>252</v>
      </c>
      <c r="M578" s="1"/>
      <c r="N578" s="1" t="s">
        <v>254</v>
      </c>
      <c r="O578" s="31">
        <v>5</v>
      </c>
      <c r="P578" s="31">
        <v>1</v>
      </c>
      <c r="Q578" s="32">
        <v>2006</v>
      </c>
    </row>
    <row r="579" spans="1:17" x14ac:dyDescent="0.25">
      <c r="A579" s="1" t="s">
        <v>259</v>
      </c>
      <c r="B579" s="31">
        <v>43.2</v>
      </c>
      <c r="C579" s="1" t="s">
        <v>20</v>
      </c>
      <c r="D579" s="2">
        <v>42644</v>
      </c>
      <c r="E579" s="2">
        <v>42675</v>
      </c>
      <c r="F579" s="17">
        <v>1240000</v>
      </c>
      <c r="G579" s="17">
        <v>28703.7</v>
      </c>
      <c r="H579" s="1"/>
      <c r="I579" s="1" t="s">
        <v>21</v>
      </c>
      <c r="J579" s="1" t="s">
        <v>32</v>
      </c>
      <c r="K579" s="1"/>
      <c r="L579" s="1" t="s">
        <v>252</v>
      </c>
      <c r="M579" s="1"/>
      <c r="N579" s="1" t="s">
        <v>174</v>
      </c>
      <c r="O579" s="31">
        <v>9</v>
      </c>
      <c r="P579" s="31">
        <v>1</v>
      </c>
      <c r="Q579" s="32">
        <v>2011</v>
      </c>
    </row>
    <row r="580" spans="1:17" x14ac:dyDescent="0.25">
      <c r="A580" s="1" t="s">
        <v>253</v>
      </c>
      <c r="B580" s="31">
        <v>43.2</v>
      </c>
      <c r="C580" s="1" t="s">
        <v>20</v>
      </c>
      <c r="D580" s="2">
        <v>42705</v>
      </c>
      <c r="E580" s="2">
        <v>42705</v>
      </c>
      <c r="F580" s="17">
        <v>1240000</v>
      </c>
      <c r="G580" s="17">
        <v>28703.7</v>
      </c>
      <c r="H580" s="1"/>
      <c r="I580" s="1" t="s">
        <v>21</v>
      </c>
      <c r="J580" s="1" t="s">
        <v>32</v>
      </c>
      <c r="K580" s="1"/>
      <c r="L580" s="1" t="s">
        <v>252</v>
      </c>
      <c r="M580" s="1"/>
      <c r="N580" s="1"/>
      <c r="O580" s="31">
        <v>2</v>
      </c>
      <c r="P580" s="31">
        <v>2</v>
      </c>
      <c r="Q580" s="32">
        <v>2006</v>
      </c>
    </row>
    <row r="581" spans="1:17" x14ac:dyDescent="0.25">
      <c r="A581" s="1" t="s">
        <v>253</v>
      </c>
      <c r="B581" s="31">
        <v>43.2</v>
      </c>
      <c r="C581" s="1" t="s">
        <v>20</v>
      </c>
      <c r="D581" s="2">
        <v>42705</v>
      </c>
      <c r="E581" s="2">
        <v>42705</v>
      </c>
      <c r="F581" s="17">
        <v>1240000</v>
      </c>
      <c r="G581" s="17">
        <v>28703.7</v>
      </c>
      <c r="H581" s="1"/>
      <c r="I581" s="1" t="s">
        <v>21</v>
      </c>
      <c r="J581" s="1" t="s">
        <v>32</v>
      </c>
      <c r="K581" s="1"/>
      <c r="L581" s="1" t="s">
        <v>252</v>
      </c>
      <c r="M581" s="1"/>
      <c r="N581" s="1"/>
      <c r="O581" s="31">
        <v>2</v>
      </c>
      <c r="P581" s="31">
        <v>2</v>
      </c>
      <c r="Q581" s="32">
        <v>2006</v>
      </c>
    </row>
    <row r="582" spans="1:17" x14ac:dyDescent="0.25">
      <c r="A582" s="1" t="s">
        <v>259</v>
      </c>
      <c r="B582" s="31">
        <v>66.099999999999994</v>
      </c>
      <c r="C582" s="1" t="s">
        <v>20</v>
      </c>
      <c r="D582" s="2">
        <v>42736</v>
      </c>
      <c r="E582" s="2">
        <v>42736</v>
      </c>
      <c r="F582" s="17">
        <v>1900000</v>
      </c>
      <c r="G582" s="17">
        <v>28744.33</v>
      </c>
      <c r="H582" s="1"/>
      <c r="I582" s="1" t="s">
        <v>21</v>
      </c>
      <c r="J582" s="1" t="s">
        <v>32</v>
      </c>
      <c r="K582" s="1"/>
      <c r="L582" s="1" t="s">
        <v>252</v>
      </c>
      <c r="M582" s="1"/>
      <c r="N582" s="1"/>
      <c r="O582" s="31">
        <v>2</v>
      </c>
      <c r="P582" s="31">
        <v>1</v>
      </c>
      <c r="Q582" s="32">
        <v>2005</v>
      </c>
    </row>
    <row r="583" spans="1:17" x14ac:dyDescent="0.25">
      <c r="A583" s="1" t="s">
        <v>266</v>
      </c>
      <c r="B583" s="31">
        <v>45.2</v>
      </c>
      <c r="C583" s="1" t="s">
        <v>20</v>
      </c>
      <c r="D583" s="2">
        <v>42644</v>
      </c>
      <c r="E583" s="2">
        <v>42644</v>
      </c>
      <c r="F583" s="17">
        <v>1300000</v>
      </c>
      <c r="G583" s="17">
        <v>28761.06</v>
      </c>
      <c r="H583" s="1"/>
      <c r="I583" s="1" t="s">
        <v>21</v>
      </c>
      <c r="J583" s="1" t="s">
        <v>32</v>
      </c>
      <c r="K583" s="1"/>
      <c r="L583" s="1" t="s">
        <v>252</v>
      </c>
      <c r="M583" s="1"/>
      <c r="N583" s="1" t="s">
        <v>254</v>
      </c>
      <c r="O583" s="31">
        <v>6</v>
      </c>
      <c r="P583" s="31">
        <v>1</v>
      </c>
      <c r="Q583" s="32">
        <v>2013</v>
      </c>
    </row>
    <row r="584" spans="1:17" x14ac:dyDescent="0.25">
      <c r="A584" s="1" t="s">
        <v>271</v>
      </c>
      <c r="B584" s="31">
        <v>31.1</v>
      </c>
      <c r="C584" s="1" t="s">
        <v>20</v>
      </c>
      <c r="D584" s="2">
        <v>42705</v>
      </c>
      <c r="E584" s="2">
        <v>42705</v>
      </c>
      <c r="F584" s="17">
        <v>900000</v>
      </c>
      <c r="G584" s="17">
        <v>28938.91</v>
      </c>
      <c r="H584" s="1"/>
      <c r="I584" s="1" t="s">
        <v>21</v>
      </c>
      <c r="J584" s="1" t="s">
        <v>32</v>
      </c>
      <c r="K584" s="1"/>
      <c r="L584" s="1" t="s">
        <v>252</v>
      </c>
      <c r="M584" s="1"/>
      <c r="N584" s="1"/>
      <c r="O584" s="31">
        <v>4</v>
      </c>
      <c r="P584" s="31">
        <v>1</v>
      </c>
      <c r="Q584" s="32">
        <v>2004</v>
      </c>
    </row>
    <row r="585" spans="1:17" x14ac:dyDescent="0.25">
      <c r="A585" s="1" t="s">
        <v>276</v>
      </c>
      <c r="B585" s="31">
        <v>38</v>
      </c>
      <c r="C585" s="1" t="s">
        <v>20</v>
      </c>
      <c r="D585" s="2">
        <v>42705</v>
      </c>
      <c r="E585" s="2">
        <v>42705</v>
      </c>
      <c r="F585" s="17">
        <v>1100000</v>
      </c>
      <c r="G585" s="17">
        <v>28947.37</v>
      </c>
      <c r="H585" s="1"/>
      <c r="I585" s="1" t="s">
        <v>21</v>
      </c>
      <c r="J585" s="1" t="s">
        <v>32</v>
      </c>
      <c r="K585" s="1"/>
      <c r="L585" s="1" t="s">
        <v>252</v>
      </c>
      <c r="M585" s="1"/>
      <c r="N585" s="1" t="s">
        <v>258</v>
      </c>
      <c r="O585" s="31">
        <v>7</v>
      </c>
      <c r="P585" s="31">
        <v>1</v>
      </c>
      <c r="Q585" s="32">
        <v>2015</v>
      </c>
    </row>
    <row r="586" spans="1:17" x14ac:dyDescent="0.25">
      <c r="A586" s="1" t="s">
        <v>264</v>
      </c>
      <c r="B586" s="31">
        <v>44.2</v>
      </c>
      <c r="C586" s="1" t="s">
        <v>20</v>
      </c>
      <c r="D586" s="2">
        <v>42736</v>
      </c>
      <c r="E586" s="2">
        <v>42767</v>
      </c>
      <c r="F586" s="17">
        <v>1280000</v>
      </c>
      <c r="G586" s="17">
        <v>28959.279999999999</v>
      </c>
      <c r="H586" s="1"/>
      <c r="I586" s="1" t="s">
        <v>21</v>
      </c>
      <c r="J586" s="1" t="s">
        <v>32</v>
      </c>
      <c r="K586" s="1"/>
      <c r="L586" s="1" t="s">
        <v>252</v>
      </c>
      <c r="M586" s="1"/>
      <c r="N586" s="1" t="s">
        <v>269</v>
      </c>
      <c r="O586" s="31">
        <v>5</v>
      </c>
      <c r="P586" s="31">
        <v>1</v>
      </c>
      <c r="Q586" s="32">
        <v>2000</v>
      </c>
    </row>
    <row r="587" spans="1:17" x14ac:dyDescent="0.25">
      <c r="A587" s="1" t="s">
        <v>261</v>
      </c>
      <c r="B587" s="31">
        <v>43.4</v>
      </c>
      <c r="C587" s="1" t="s">
        <v>20</v>
      </c>
      <c r="D587" s="2">
        <v>42675</v>
      </c>
      <c r="E587" s="2">
        <v>42675</v>
      </c>
      <c r="F587" s="17">
        <v>1257200</v>
      </c>
      <c r="G587" s="17">
        <v>28967.74</v>
      </c>
      <c r="H587" s="1"/>
      <c r="I587" s="1" t="s">
        <v>21</v>
      </c>
      <c r="J587" s="1" t="s">
        <v>22</v>
      </c>
      <c r="K587" s="1"/>
      <c r="L587" s="1" t="s">
        <v>252</v>
      </c>
      <c r="M587" s="1"/>
      <c r="N587" s="1"/>
      <c r="O587" s="31">
        <v>9</v>
      </c>
      <c r="P587" s="31">
        <v>1</v>
      </c>
      <c r="Q587" s="32">
        <v>2016</v>
      </c>
    </row>
    <row r="588" spans="1:17" x14ac:dyDescent="0.25">
      <c r="A588" s="1" t="s">
        <v>263</v>
      </c>
      <c r="B588" s="31">
        <v>34.4</v>
      </c>
      <c r="C588" s="1" t="s">
        <v>20</v>
      </c>
      <c r="D588" s="2">
        <v>42705</v>
      </c>
      <c r="E588" s="2">
        <v>42705</v>
      </c>
      <c r="F588" s="17">
        <v>1000000</v>
      </c>
      <c r="G588" s="17">
        <v>29069.77</v>
      </c>
      <c r="H588" s="1"/>
      <c r="I588" s="1" t="s">
        <v>21</v>
      </c>
      <c r="J588" s="1" t="s">
        <v>32</v>
      </c>
      <c r="K588" s="1"/>
      <c r="L588" s="1" t="s">
        <v>252</v>
      </c>
      <c r="M588" s="1"/>
      <c r="N588" s="1"/>
      <c r="O588" s="31">
        <v>5</v>
      </c>
      <c r="P588" s="31">
        <v>1</v>
      </c>
      <c r="Q588" s="32">
        <v>2002</v>
      </c>
    </row>
    <row r="589" spans="1:17" x14ac:dyDescent="0.25">
      <c r="A589" s="1" t="s">
        <v>259</v>
      </c>
      <c r="B589" s="31">
        <v>37.799999999999997</v>
      </c>
      <c r="C589" s="1" t="s">
        <v>20</v>
      </c>
      <c r="D589" s="2">
        <v>42705</v>
      </c>
      <c r="E589" s="2">
        <v>42705</v>
      </c>
      <c r="F589" s="17">
        <v>1100000</v>
      </c>
      <c r="G589" s="17">
        <v>29100.53</v>
      </c>
      <c r="H589" s="1"/>
      <c r="I589" s="1" t="s">
        <v>21</v>
      </c>
      <c r="J589" s="1" t="s">
        <v>32</v>
      </c>
      <c r="K589" s="1"/>
      <c r="L589" s="1" t="s">
        <v>252</v>
      </c>
      <c r="M589" s="1"/>
      <c r="N589" s="1"/>
      <c r="O589" s="31">
        <v>2</v>
      </c>
      <c r="P589" s="31">
        <v>1</v>
      </c>
      <c r="Q589" s="32">
        <v>2011</v>
      </c>
    </row>
    <row r="590" spans="1:17" x14ac:dyDescent="0.25">
      <c r="A590" s="1" t="s">
        <v>270</v>
      </c>
      <c r="B590" s="31">
        <v>35.700000000000003</v>
      </c>
      <c r="C590" s="1" t="s">
        <v>20</v>
      </c>
      <c r="D590" s="2">
        <v>42767</v>
      </c>
      <c r="E590" s="2">
        <v>42767</v>
      </c>
      <c r="F590" s="17">
        <v>1040000</v>
      </c>
      <c r="G590" s="17">
        <v>29131.65</v>
      </c>
      <c r="H590" s="1"/>
      <c r="I590" s="1" t="s">
        <v>21</v>
      </c>
      <c r="J590" s="1" t="s">
        <v>22</v>
      </c>
      <c r="K590" s="1"/>
      <c r="L590" s="1" t="s">
        <v>252</v>
      </c>
      <c r="M590" s="1"/>
      <c r="N590" s="1"/>
      <c r="O590" s="31">
        <v>4</v>
      </c>
      <c r="P590" s="31">
        <v>1</v>
      </c>
      <c r="Q590" s="32">
        <v>2017</v>
      </c>
    </row>
    <row r="591" spans="1:17" x14ac:dyDescent="0.25">
      <c r="A591" s="1" t="s">
        <v>253</v>
      </c>
      <c r="B591" s="31">
        <v>30.2</v>
      </c>
      <c r="C591" s="1" t="s">
        <v>20</v>
      </c>
      <c r="D591" s="2">
        <v>42675</v>
      </c>
      <c r="E591" s="2">
        <v>42705</v>
      </c>
      <c r="F591" s="17">
        <v>880000</v>
      </c>
      <c r="G591" s="17">
        <v>29139.07</v>
      </c>
      <c r="H591" s="1"/>
      <c r="I591" s="1" t="s">
        <v>21</v>
      </c>
      <c r="J591" s="1" t="s">
        <v>32</v>
      </c>
      <c r="K591" s="1"/>
      <c r="L591" s="1" t="s">
        <v>252</v>
      </c>
      <c r="M591" s="1"/>
      <c r="N591" s="1" t="s">
        <v>254</v>
      </c>
      <c r="O591" s="31">
        <v>3</v>
      </c>
      <c r="P591" s="31">
        <v>2</v>
      </c>
      <c r="Q591" s="32">
        <v>2002</v>
      </c>
    </row>
    <row r="592" spans="1:17" x14ac:dyDescent="0.25">
      <c r="A592" s="1" t="s">
        <v>253</v>
      </c>
      <c r="B592" s="31">
        <v>30.2</v>
      </c>
      <c r="C592" s="1" t="s">
        <v>20</v>
      </c>
      <c r="D592" s="2">
        <v>42675</v>
      </c>
      <c r="E592" s="2">
        <v>42705</v>
      </c>
      <c r="F592" s="17">
        <v>880000</v>
      </c>
      <c r="G592" s="17">
        <v>29139.07</v>
      </c>
      <c r="H592" s="1"/>
      <c r="I592" s="1" t="s">
        <v>21</v>
      </c>
      <c r="J592" s="1" t="s">
        <v>32</v>
      </c>
      <c r="K592" s="1"/>
      <c r="L592" s="1" t="s">
        <v>252</v>
      </c>
      <c r="M592" s="1"/>
      <c r="N592" s="1" t="s">
        <v>254</v>
      </c>
      <c r="O592" s="31">
        <v>3</v>
      </c>
      <c r="P592" s="31">
        <v>2</v>
      </c>
      <c r="Q592" s="32">
        <v>2002</v>
      </c>
    </row>
    <row r="593" spans="1:17" x14ac:dyDescent="0.25">
      <c r="A593" s="1" t="s">
        <v>266</v>
      </c>
      <c r="B593" s="31">
        <v>83.7</v>
      </c>
      <c r="C593" s="1" t="s">
        <v>20</v>
      </c>
      <c r="D593" s="2">
        <v>42705</v>
      </c>
      <c r="E593" s="2">
        <v>42705</v>
      </c>
      <c r="F593" s="17">
        <v>2443690</v>
      </c>
      <c r="G593" s="17">
        <v>29195.82</v>
      </c>
      <c r="H593" s="1"/>
      <c r="I593" s="1" t="s">
        <v>21</v>
      </c>
      <c r="J593" s="1" t="s">
        <v>32</v>
      </c>
      <c r="K593" s="1"/>
      <c r="L593" s="1" t="s">
        <v>252</v>
      </c>
      <c r="M593" s="1"/>
      <c r="N593" s="1" t="s">
        <v>254</v>
      </c>
      <c r="O593" s="31">
        <v>1</v>
      </c>
      <c r="P593" s="31">
        <v>2</v>
      </c>
      <c r="Q593" s="32">
        <v>2013</v>
      </c>
    </row>
    <row r="594" spans="1:17" x14ac:dyDescent="0.25">
      <c r="A594" s="1" t="s">
        <v>266</v>
      </c>
      <c r="B594" s="31">
        <v>83.7</v>
      </c>
      <c r="C594" s="1" t="s">
        <v>20</v>
      </c>
      <c r="D594" s="2">
        <v>42705</v>
      </c>
      <c r="E594" s="2">
        <v>42705</v>
      </c>
      <c r="F594" s="17">
        <v>2443690</v>
      </c>
      <c r="G594" s="17">
        <v>29195.82</v>
      </c>
      <c r="H594" s="1"/>
      <c r="I594" s="1" t="s">
        <v>21</v>
      </c>
      <c r="J594" s="1" t="s">
        <v>32</v>
      </c>
      <c r="K594" s="1"/>
      <c r="L594" s="1" t="s">
        <v>252</v>
      </c>
      <c r="M594" s="1"/>
      <c r="N594" s="1" t="s">
        <v>254</v>
      </c>
      <c r="O594" s="31">
        <v>1</v>
      </c>
      <c r="P594" s="31">
        <v>2</v>
      </c>
      <c r="Q594" s="32">
        <v>2013</v>
      </c>
    </row>
    <row r="595" spans="1:17" x14ac:dyDescent="0.25">
      <c r="A595" s="1" t="s">
        <v>266</v>
      </c>
      <c r="B595" s="31">
        <v>63.2</v>
      </c>
      <c r="C595" s="1" t="s">
        <v>20</v>
      </c>
      <c r="D595" s="2">
        <v>42675</v>
      </c>
      <c r="E595" s="2">
        <v>42675</v>
      </c>
      <c r="F595" s="17">
        <v>1848000</v>
      </c>
      <c r="G595" s="17">
        <v>29240.51</v>
      </c>
      <c r="H595" s="1"/>
      <c r="I595" s="1" t="s">
        <v>21</v>
      </c>
      <c r="J595" s="1" t="s">
        <v>32</v>
      </c>
      <c r="K595" s="1"/>
      <c r="L595" s="1" t="s">
        <v>252</v>
      </c>
      <c r="M595" s="1"/>
      <c r="N595" s="1"/>
      <c r="O595" s="31">
        <v>10</v>
      </c>
      <c r="P595" s="31">
        <v>2</v>
      </c>
      <c r="Q595" s="32">
        <v>2016</v>
      </c>
    </row>
    <row r="596" spans="1:17" x14ac:dyDescent="0.25">
      <c r="A596" s="1" t="s">
        <v>266</v>
      </c>
      <c r="B596" s="31">
        <v>63.2</v>
      </c>
      <c r="C596" s="1" t="s">
        <v>20</v>
      </c>
      <c r="D596" s="2">
        <v>42675</v>
      </c>
      <c r="E596" s="2">
        <v>42675</v>
      </c>
      <c r="F596" s="17">
        <v>1848000</v>
      </c>
      <c r="G596" s="17">
        <v>29240.51</v>
      </c>
      <c r="H596" s="1"/>
      <c r="I596" s="1" t="s">
        <v>21</v>
      </c>
      <c r="J596" s="1" t="s">
        <v>32</v>
      </c>
      <c r="K596" s="1"/>
      <c r="L596" s="1" t="s">
        <v>252</v>
      </c>
      <c r="M596" s="1"/>
      <c r="N596" s="1"/>
      <c r="O596" s="31">
        <v>10</v>
      </c>
      <c r="P596" s="31">
        <v>2</v>
      </c>
      <c r="Q596" s="32">
        <v>2016</v>
      </c>
    </row>
    <row r="597" spans="1:17" x14ac:dyDescent="0.25">
      <c r="A597" s="1" t="s">
        <v>275</v>
      </c>
      <c r="B597" s="31">
        <v>47.8</v>
      </c>
      <c r="C597" s="1" t="s">
        <v>20</v>
      </c>
      <c r="D597" s="2">
        <v>42705</v>
      </c>
      <c r="E597" s="2">
        <v>42705</v>
      </c>
      <c r="F597" s="17">
        <v>1400000</v>
      </c>
      <c r="G597" s="17">
        <v>29288.7</v>
      </c>
      <c r="H597" s="1"/>
      <c r="I597" s="1" t="s">
        <v>21</v>
      </c>
      <c r="J597" s="1" t="s">
        <v>32</v>
      </c>
      <c r="K597" s="1"/>
      <c r="L597" s="1" t="s">
        <v>252</v>
      </c>
      <c r="M597" s="1"/>
      <c r="N597" s="1" t="s">
        <v>269</v>
      </c>
      <c r="O597" s="31">
        <v>2</v>
      </c>
      <c r="P597" s="31">
        <v>1</v>
      </c>
      <c r="Q597" s="32">
        <v>2003</v>
      </c>
    </row>
    <row r="598" spans="1:17" x14ac:dyDescent="0.25">
      <c r="A598" s="1" t="s">
        <v>264</v>
      </c>
      <c r="B598" s="31">
        <v>41.3</v>
      </c>
      <c r="C598" s="1" t="s">
        <v>20</v>
      </c>
      <c r="D598" s="2">
        <v>42767</v>
      </c>
      <c r="E598" s="2">
        <v>42767</v>
      </c>
      <c r="F598" s="17">
        <v>1210000</v>
      </c>
      <c r="G598" s="17">
        <v>29297.82</v>
      </c>
      <c r="H598" s="1"/>
      <c r="I598" s="1" t="s">
        <v>21</v>
      </c>
      <c r="J598" s="1" t="s">
        <v>22</v>
      </c>
      <c r="K598" s="1"/>
      <c r="L598" s="1" t="s">
        <v>252</v>
      </c>
      <c r="M598" s="1"/>
      <c r="N598" s="1"/>
      <c r="O598" s="31">
        <v>4</v>
      </c>
      <c r="P598" s="31">
        <v>1</v>
      </c>
      <c r="Q598" s="32">
        <v>2017</v>
      </c>
    </row>
    <row r="599" spans="1:17" x14ac:dyDescent="0.25">
      <c r="A599" s="1" t="s">
        <v>264</v>
      </c>
      <c r="B599" s="31">
        <v>43</v>
      </c>
      <c r="C599" s="1" t="s">
        <v>20</v>
      </c>
      <c r="D599" s="2">
        <v>42705</v>
      </c>
      <c r="E599" s="2">
        <v>42705</v>
      </c>
      <c r="F599" s="17">
        <v>1260000</v>
      </c>
      <c r="G599" s="17">
        <v>29302.33</v>
      </c>
      <c r="H599" s="1"/>
      <c r="I599" s="1" t="s">
        <v>21</v>
      </c>
      <c r="J599" s="1" t="s">
        <v>32</v>
      </c>
      <c r="K599" s="1"/>
      <c r="L599" s="1" t="s">
        <v>252</v>
      </c>
      <c r="M599" s="1"/>
      <c r="N599" s="1"/>
      <c r="O599" s="31">
        <v>2</v>
      </c>
      <c r="P599" s="31">
        <v>1</v>
      </c>
      <c r="Q599" s="32">
        <v>2004</v>
      </c>
    </row>
    <row r="600" spans="1:17" x14ac:dyDescent="0.25">
      <c r="A600" s="1" t="s">
        <v>267</v>
      </c>
      <c r="B600" s="31">
        <v>63.7</v>
      </c>
      <c r="C600" s="1" t="s">
        <v>20</v>
      </c>
      <c r="D600" s="2">
        <v>42644</v>
      </c>
      <c r="E600" s="2">
        <v>42644</v>
      </c>
      <c r="F600" s="17">
        <v>1875000</v>
      </c>
      <c r="G600" s="17">
        <v>29434.85</v>
      </c>
      <c r="H600" s="1"/>
      <c r="I600" s="1" t="s">
        <v>21</v>
      </c>
      <c r="J600" s="1" t="s">
        <v>22</v>
      </c>
      <c r="K600" s="1"/>
      <c r="L600" s="1" t="s">
        <v>252</v>
      </c>
      <c r="M600" s="1"/>
      <c r="N600" s="1"/>
      <c r="O600" s="31">
        <v>7</v>
      </c>
      <c r="P600" s="31">
        <v>2</v>
      </c>
      <c r="Q600" s="32">
        <v>2016</v>
      </c>
    </row>
    <row r="601" spans="1:17" x14ac:dyDescent="0.25">
      <c r="A601" s="1" t="s">
        <v>267</v>
      </c>
      <c r="B601" s="31">
        <v>63.7</v>
      </c>
      <c r="C601" s="1" t="s">
        <v>20</v>
      </c>
      <c r="D601" s="2">
        <v>42644</v>
      </c>
      <c r="E601" s="2">
        <v>42644</v>
      </c>
      <c r="F601" s="17">
        <v>1875000</v>
      </c>
      <c r="G601" s="17">
        <v>29434.85</v>
      </c>
      <c r="H601" s="1"/>
      <c r="I601" s="1" t="s">
        <v>21</v>
      </c>
      <c r="J601" s="1" t="s">
        <v>22</v>
      </c>
      <c r="K601" s="1"/>
      <c r="L601" s="1" t="s">
        <v>252</v>
      </c>
      <c r="M601" s="1"/>
      <c r="N601" s="1"/>
      <c r="O601" s="31">
        <v>7</v>
      </c>
      <c r="P601" s="31">
        <v>2</v>
      </c>
      <c r="Q601" s="32">
        <v>2016</v>
      </c>
    </row>
    <row r="602" spans="1:17" x14ac:dyDescent="0.25">
      <c r="A602" s="1" t="s">
        <v>264</v>
      </c>
      <c r="B602" s="31">
        <v>25.4</v>
      </c>
      <c r="C602" s="1" t="s">
        <v>20</v>
      </c>
      <c r="D602" s="2">
        <v>42675</v>
      </c>
      <c r="E602" s="2">
        <v>42675</v>
      </c>
      <c r="F602" s="17">
        <v>748000</v>
      </c>
      <c r="G602" s="17">
        <v>29448.82</v>
      </c>
      <c r="H602" s="1"/>
      <c r="I602" s="1" t="s">
        <v>21</v>
      </c>
      <c r="J602" s="1" t="s">
        <v>32</v>
      </c>
      <c r="K602" s="1"/>
      <c r="L602" s="1" t="s">
        <v>252</v>
      </c>
      <c r="M602" s="1"/>
      <c r="N602" s="1" t="s">
        <v>265</v>
      </c>
      <c r="O602" s="31">
        <v>5</v>
      </c>
      <c r="P602" s="31">
        <v>1</v>
      </c>
      <c r="Q602" s="32">
        <v>2006</v>
      </c>
    </row>
    <row r="603" spans="1:17" x14ac:dyDescent="0.25">
      <c r="A603" s="1" t="s">
        <v>253</v>
      </c>
      <c r="B603" s="31">
        <v>42.5</v>
      </c>
      <c r="C603" s="1" t="s">
        <v>20</v>
      </c>
      <c r="D603" s="2">
        <v>42705</v>
      </c>
      <c r="E603" s="2">
        <v>42705</v>
      </c>
      <c r="F603" s="17">
        <v>1260000</v>
      </c>
      <c r="G603" s="17">
        <v>29647.06</v>
      </c>
      <c r="H603" s="1"/>
      <c r="I603" s="1" t="s">
        <v>21</v>
      </c>
      <c r="J603" s="1" t="s">
        <v>32</v>
      </c>
      <c r="K603" s="1"/>
      <c r="L603" s="1" t="s">
        <v>252</v>
      </c>
      <c r="M603" s="1"/>
      <c r="N603" s="1"/>
      <c r="O603" s="31">
        <v>6</v>
      </c>
      <c r="P603" s="31">
        <v>1</v>
      </c>
      <c r="Q603" s="32">
        <v>2015</v>
      </c>
    </row>
    <row r="604" spans="1:17" x14ac:dyDescent="0.25">
      <c r="A604" s="1" t="s">
        <v>256</v>
      </c>
      <c r="B604" s="31">
        <v>53.8</v>
      </c>
      <c r="C604" s="1" t="s">
        <v>20</v>
      </c>
      <c r="D604" s="2">
        <v>42614</v>
      </c>
      <c r="E604" s="2">
        <v>42644</v>
      </c>
      <c r="F604" s="17">
        <v>1600000</v>
      </c>
      <c r="G604" s="17">
        <v>29739.78</v>
      </c>
      <c r="H604" s="1"/>
      <c r="I604" s="1" t="s">
        <v>21</v>
      </c>
      <c r="J604" s="1" t="s">
        <v>32</v>
      </c>
      <c r="K604" s="1"/>
      <c r="L604" s="1" t="s">
        <v>252</v>
      </c>
      <c r="M604" s="1"/>
      <c r="N604" s="1" t="s">
        <v>257</v>
      </c>
      <c r="O604" s="31">
        <v>7</v>
      </c>
      <c r="P604" s="31">
        <v>2</v>
      </c>
      <c r="Q604" s="32">
        <v>2001</v>
      </c>
    </row>
    <row r="605" spans="1:17" x14ac:dyDescent="0.25">
      <c r="A605" s="1" t="s">
        <v>256</v>
      </c>
      <c r="B605" s="31">
        <v>53.8</v>
      </c>
      <c r="C605" s="1" t="s">
        <v>20</v>
      </c>
      <c r="D605" s="2">
        <v>42614</v>
      </c>
      <c r="E605" s="2">
        <v>42644</v>
      </c>
      <c r="F605" s="17">
        <v>1600000</v>
      </c>
      <c r="G605" s="17">
        <v>29739.78</v>
      </c>
      <c r="H605" s="1"/>
      <c r="I605" s="1" t="s">
        <v>21</v>
      </c>
      <c r="J605" s="1" t="s">
        <v>32</v>
      </c>
      <c r="K605" s="1"/>
      <c r="L605" s="1" t="s">
        <v>252</v>
      </c>
      <c r="M605" s="1"/>
      <c r="N605" s="1" t="s">
        <v>257</v>
      </c>
      <c r="O605" s="31">
        <v>7</v>
      </c>
      <c r="P605" s="31">
        <v>2</v>
      </c>
      <c r="Q605" s="32">
        <v>2001</v>
      </c>
    </row>
    <row r="606" spans="1:17" x14ac:dyDescent="0.25">
      <c r="A606" s="1" t="s">
        <v>282</v>
      </c>
      <c r="B606" s="31">
        <v>40.299999999999997</v>
      </c>
      <c r="C606" s="1" t="s">
        <v>20</v>
      </c>
      <c r="D606" s="2">
        <v>42705</v>
      </c>
      <c r="E606" s="2">
        <v>42705</v>
      </c>
      <c r="F606" s="17">
        <v>1200000</v>
      </c>
      <c r="G606" s="17">
        <v>29776.67</v>
      </c>
      <c r="H606" s="1"/>
      <c r="I606" s="1" t="s">
        <v>21</v>
      </c>
      <c r="J606" s="1" t="s">
        <v>32</v>
      </c>
      <c r="K606" s="1"/>
      <c r="L606" s="1" t="s">
        <v>252</v>
      </c>
      <c r="M606" s="1"/>
      <c r="N606" s="1" t="s">
        <v>283</v>
      </c>
      <c r="O606" s="31">
        <v>4</v>
      </c>
      <c r="P606" s="31">
        <v>1</v>
      </c>
      <c r="Q606" s="32">
        <v>2004</v>
      </c>
    </row>
    <row r="607" spans="1:17" x14ac:dyDescent="0.25">
      <c r="A607" s="1" t="s">
        <v>256</v>
      </c>
      <c r="B607" s="31">
        <v>38.6</v>
      </c>
      <c r="C607" s="1" t="s">
        <v>20</v>
      </c>
      <c r="D607" s="2">
        <v>42705</v>
      </c>
      <c r="E607" s="2">
        <v>42705</v>
      </c>
      <c r="F607" s="17">
        <v>1150000</v>
      </c>
      <c r="G607" s="17">
        <v>29792.75</v>
      </c>
      <c r="H607" s="1"/>
      <c r="I607" s="1" t="s">
        <v>21</v>
      </c>
      <c r="J607" s="1" t="s">
        <v>32</v>
      </c>
      <c r="K607" s="1"/>
      <c r="L607" s="1" t="s">
        <v>252</v>
      </c>
      <c r="M607" s="1"/>
      <c r="N607" s="1"/>
      <c r="O607" s="31">
        <v>4</v>
      </c>
      <c r="P607" s="31">
        <v>1</v>
      </c>
      <c r="Q607" s="32">
        <v>2007</v>
      </c>
    </row>
    <row r="608" spans="1:17" x14ac:dyDescent="0.25">
      <c r="A608" s="1" t="s">
        <v>263</v>
      </c>
      <c r="B608" s="31">
        <v>35.200000000000003</v>
      </c>
      <c r="C608" s="1" t="s">
        <v>20</v>
      </c>
      <c r="D608" s="2">
        <v>42767</v>
      </c>
      <c r="E608" s="2">
        <v>42767</v>
      </c>
      <c r="F608" s="17">
        <v>1050000</v>
      </c>
      <c r="G608" s="17">
        <v>29829.55</v>
      </c>
      <c r="H608" s="1"/>
      <c r="I608" s="1" t="s">
        <v>21</v>
      </c>
      <c r="J608" s="1" t="s">
        <v>32</v>
      </c>
      <c r="K608" s="1"/>
      <c r="L608" s="1" t="s">
        <v>252</v>
      </c>
      <c r="M608" s="1"/>
      <c r="N608" s="1" t="s">
        <v>265</v>
      </c>
      <c r="O608" s="31">
        <v>4</v>
      </c>
      <c r="P608" s="31">
        <v>1</v>
      </c>
      <c r="Q608" s="32">
        <v>2009</v>
      </c>
    </row>
    <row r="609" spans="1:17" x14ac:dyDescent="0.25">
      <c r="A609" s="1" t="s">
        <v>272</v>
      </c>
      <c r="B609" s="31">
        <v>30.3</v>
      </c>
      <c r="C609" s="1" t="s">
        <v>20</v>
      </c>
      <c r="D609" s="2">
        <v>42644</v>
      </c>
      <c r="E609" s="2">
        <v>42675</v>
      </c>
      <c r="F609" s="17">
        <v>904000</v>
      </c>
      <c r="G609" s="17">
        <v>29834.98</v>
      </c>
      <c r="H609" s="1"/>
      <c r="I609" s="1" t="s">
        <v>21</v>
      </c>
      <c r="J609" s="1" t="s">
        <v>32</v>
      </c>
      <c r="K609" s="1"/>
      <c r="L609" s="1" t="s">
        <v>252</v>
      </c>
      <c r="M609" s="1"/>
      <c r="N609" s="1" t="s">
        <v>269</v>
      </c>
      <c r="O609" s="31">
        <v>6</v>
      </c>
      <c r="P609" s="31">
        <v>1</v>
      </c>
      <c r="Q609" s="32">
        <v>2001</v>
      </c>
    </row>
    <row r="610" spans="1:17" x14ac:dyDescent="0.25">
      <c r="A610" s="1" t="s">
        <v>261</v>
      </c>
      <c r="B610" s="31">
        <v>36.5</v>
      </c>
      <c r="C610" s="1" t="s">
        <v>20</v>
      </c>
      <c r="D610" s="2">
        <v>42736</v>
      </c>
      <c r="E610" s="2">
        <v>42767</v>
      </c>
      <c r="F610" s="17">
        <v>1090000</v>
      </c>
      <c r="G610" s="17">
        <v>29863.01</v>
      </c>
      <c r="H610" s="1"/>
      <c r="I610" s="1" t="s">
        <v>21</v>
      </c>
      <c r="J610" s="1" t="s">
        <v>22</v>
      </c>
      <c r="K610" s="1"/>
      <c r="L610" s="1" t="s">
        <v>252</v>
      </c>
      <c r="M610" s="1"/>
      <c r="N610" s="1" t="s">
        <v>258</v>
      </c>
      <c r="O610" s="31">
        <v>3</v>
      </c>
      <c r="P610" s="31">
        <v>2</v>
      </c>
      <c r="Q610" s="32">
        <v>2016</v>
      </c>
    </row>
    <row r="611" spans="1:17" x14ac:dyDescent="0.25">
      <c r="A611" s="1" t="s">
        <v>261</v>
      </c>
      <c r="B611" s="31">
        <v>36.5</v>
      </c>
      <c r="C611" s="1" t="s">
        <v>20</v>
      </c>
      <c r="D611" s="2">
        <v>42736</v>
      </c>
      <c r="E611" s="2">
        <v>42767</v>
      </c>
      <c r="F611" s="17">
        <v>1090000</v>
      </c>
      <c r="G611" s="17">
        <v>29863.01</v>
      </c>
      <c r="H611" s="1"/>
      <c r="I611" s="1" t="s">
        <v>21</v>
      </c>
      <c r="J611" s="1" t="s">
        <v>22</v>
      </c>
      <c r="K611" s="1"/>
      <c r="L611" s="1" t="s">
        <v>252</v>
      </c>
      <c r="M611" s="1"/>
      <c r="N611" s="1" t="s">
        <v>258</v>
      </c>
      <c r="O611" s="31">
        <v>3</v>
      </c>
      <c r="P611" s="31">
        <v>2</v>
      </c>
      <c r="Q611" s="32">
        <v>2016</v>
      </c>
    </row>
    <row r="612" spans="1:17" x14ac:dyDescent="0.25">
      <c r="A612" s="1" t="s">
        <v>273</v>
      </c>
      <c r="B612" s="31">
        <v>34.799999999999997</v>
      </c>
      <c r="C612" s="1" t="s">
        <v>20</v>
      </c>
      <c r="D612" s="2">
        <v>42644</v>
      </c>
      <c r="E612" s="2">
        <v>42644</v>
      </c>
      <c r="F612" s="17">
        <v>1040000</v>
      </c>
      <c r="G612" s="17">
        <v>29885.06</v>
      </c>
      <c r="H612" s="1"/>
      <c r="I612" s="1" t="s">
        <v>21</v>
      </c>
      <c r="J612" s="1" t="s">
        <v>32</v>
      </c>
      <c r="K612" s="1"/>
      <c r="L612" s="1" t="s">
        <v>252</v>
      </c>
      <c r="M612" s="1"/>
      <c r="N612" s="1" t="s">
        <v>265</v>
      </c>
      <c r="O612" s="31">
        <v>9</v>
      </c>
      <c r="P612" s="31">
        <v>1</v>
      </c>
      <c r="Q612" s="32">
        <v>2004</v>
      </c>
    </row>
    <row r="613" spans="1:17" x14ac:dyDescent="0.25">
      <c r="A613" s="1" t="s">
        <v>261</v>
      </c>
      <c r="B613" s="31">
        <v>47.2</v>
      </c>
      <c r="C613" s="1" t="s">
        <v>20</v>
      </c>
      <c r="D613" s="2">
        <v>42767</v>
      </c>
      <c r="E613" s="2">
        <v>42767</v>
      </c>
      <c r="F613" s="17">
        <v>1411000</v>
      </c>
      <c r="G613" s="17">
        <v>29894.07</v>
      </c>
      <c r="H613" s="1"/>
      <c r="I613" s="1" t="s">
        <v>21</v>
      </c>
      <c r="J613" s="1" t="s">
        <v>22</v>
      </c>
      <c r="K613" s="1"/>
      <c r="L613" s="1" t="s">
        <v>252</v>
      </c>
      <c r="M613" s="1"/>
      <c r="N613" s="1"/>
      <c r="O613" s="31">
        <v>8</v>
      </c>
      <c r="P613" s="31">
        <v>1</v>
      </c>
      <c r="Q613" s="32">
        <v>2017</v>
      </c>
    </row>
    <row r="614" spans="1:17" x14ac:dyDescent="0.25">
      <c r="A614" s="1" t="s">
        <v>266</v>
      </c>
      <c r="B614" s="31">
        <v>72.5</v>
      </c>
      <c r="C614" s="1" t="s">
        <v>20</v>
      </c>
      <c r="D614" s="2">
        <v>42705</v>
      </c>
      <c r="E614" s="2">
        <v>42705</v>
      </c>
      <c r="F614" s="17">
        <v>2168640</v>
      </c>
      <c r="G614" s="17">
        <v>29912.28</v>
      </c>
      <c r="H614" s="1"/>
      <c r="I614" s="1" t="s">
        <v>21</v>
      </c>
      <c r="J614" s="1" t="s">
        <v>32</v>
      </c>
      <c r="K614" s="1"/>
      <c r="L614" s="1" t="s">
        <v>252</v>
      </c>
      <c r="M614" s="1"/>
      <c r="N614" s="1" t="s">
        <v>278</v>
      </c>
      <c r="O614" s="31">
        <v>5</v>
      </c>
      <c r="P614" s="31">
        <v>2</v>
      </c>
      <c r="Q614" s="32">
        <v>2016</v>
      </c>
    </row>
    <row r="615" spans="1:17" x14ac:dyDescent="0.25">
      <c r="A615" s="1" t="s">
        <v>266</v>
      </c>
      <c r="B615" s="31">
        <v>72.5</v>
      </c>
      <c r="C615" s="1" t="s">
        <v>20</v>
      </c>
      <c r="D615" s="2">
        <v>42705</v>
      </c>
      <c r="E615" s="2">
        <v>42705</v>
      </c>
      <c r="F615" s="17">
        <v>2168640</v>
      </c>
      <c r="G615" s="17">
        <v>29912.28</v>
      </c>
      <c r="H615" s="1"/>
      <c r="I615" s="1" t="s">
        <v>21</v>
      </c>
      <c r="J615" s="1" t="s">
        <v>32</v>
      </c>
      <c r="K615" s="1"/>
      <c r="L615" s="1" t="s">
        <v>252</v>
      </c>
      <c r="M615" s="1"/>
      <c r="N615" s="1" t="s">
        <v>278</v>
      </c>
      <c r="O615" s="31">
        <v>5</v>
      </c>
      <c r="P615" s="31">
        <v>2</v>
      </c>
      <c r="Q615" s="32">
        <v>2016</v>
      </c>
    </row>
    <row r="616" spans="1:17" x14ac:dyDescent="0.25">
      <c r="A616" s="1" t="s">
        <v>268</v>
      </c>
      <c r="B616" s="31">
        <v>30</v>
      </c>
      <c r="C616" s="1" t="s">
        <v>20</v>
      </c>
      <c r="D616" s="2">
        <v>42675</v>
      </c>
      <c r="E616" s="2">
        <v>42675</v>
      </c>
      <c r="F616" s="17">
        <v>898000</v>
      </c>
      <c r="G616" s="17">
        <v>29933.33</v>
      </c>
      <c r="H616" s="1"/>
      <c r="I616" s="1" t="s">
        <v>21</v>
      </c>
      <c r="J616" s="1" t="s">
        <v>32</v>
      </c>
      <c r="K616" s="1"/>
      <c r="L616" s="1" t="s">
        <v>252</v>
      </c>
      <c r="M616" s="1"/>
      <c r="N616" s="1" t="s">
        <v>130</v>
      </c>
      <c r="O616" s="31">
        <v>2</v>
      </c>
      <c r="P616" s="31">
        <v>1</v>
      </c>
      <c r="Q616" s="32">
        <v>2013</v>
      </c>
    </row>
    <row r="617" spans="1:17" x14ac:dyDescent="0.25">
      <c r="A617" s="1" t="s">
        <v>270</v>
      </c>
      <c r="B617" s="31">
        <v>49.6</v>
      </c>
      <c r="C617" s="1" t="s">
        <v>20</v>
      </c>
      <c r="D617" s="2">
        <v>42644</v>
      </c>
      <c r="E617" s="2">
        <v>42644</v>
      </c>
      <c r="F617" s="17">
        <v>1485000</v>
      </c>
      <c r="G617" s="17">
        <v>29939.52</v>
      </c>
      <c r="H617" s="1"/>
      <c r="I617" s="1" t="s">
        <v>21</v>
      </c>
      <c r="J617" s="1" t="s">
        <v>22</v>
      </c>
      <c r="K617" s="1"/>
      <c r="L617" s="1" t="s">
        <v>252</v>
      </c>
      <c r="M617" s="1"/>
      <c r="N617" s="1"/>
      <c r="O617" s="31">
        <v>2</v>
      </c>
      <c r="P617" s="31">
        <v>2</v>
      </c>
      <c r="Q617" s="32">
        <v>2016</v>
      </c>
    </row>
    <row r="618" spans="1:17" x14ac:dyDescent="0.25">
      <c r="A618" s="1" t="s">
        <v>270</v>
      </c>
      <c r="B618" s="31">
        <v>49.6</v>
      </c>
      <c r="C618" s="1" t="s">
        <v>20</v>
      </c>
      <c r="D618" s="2">
        <v>42644</v>
      </c>
      <c r="E618" s="2">
        <v>42644</v>
      </c>
      <c r="F618" s="17">
        <v>1485000</v>
      </c>
      <c r="G618" s="17">
        <v>29939.52</v>
      </c>
      <c r="H618" s="1"/>
      <c r="I618" s="1" t="s">
        <v>21</v>
      </c>
      <c r="J618" s="1" t="s">
        <v>22</v>
      </c>
      <c r="K618" s="1"/>
      <c r="L618" s="1" t="s">
        <v>252</v>
      </c>
      <c r="M618" s="1"/>
      <c r="N618" s="1"/>
      <c r="O618" s="31">
        <v>2</v>
      </c>
      <c r="P618" s="31">
        <v>2</v>
      </c>
      <c r="Q618" s="32">
        <v>2016</v>
      </c>
    </row>
    <row r="619" spans="1:17" x14ac:dyDescent="0.25">
      <c r="A619" s="1" t="s">
        <v>259</v>
      </c>
      <c r="B619" s="31">
        <v>37.299999999999997</v>
      </c>
      <c r="C619" s="1" t="s">
        <v>20</v>
      </c>
      <c r="D619" s="2">
        <v>42705</v>
      </c>
      <c r="E619" s="2">
        <v>42705</v>
      </c>
      <c r="F619" s="17">
        <v>1120000</v>
      </c>
      <c r="G619" s="17">
        <v>30026.81</v>
      </c>
      <c r="H619" s="1"/>
      <c r="I619" s="1" t="s">
        <v>21</v>
      </c>
      <c r="J619" s="1" t="s">
        <v>32</v>
      </c>
      <c r="K619" s="1"/>
      <c r="L619" s="1" t="s">
        <v>252</v>
      </c>
      <c r="M619" s="1"/>
      <c r="N619" s="1" t="s">
        <v>279</v>
      </c>
      <c r="O619" s="31">
        <v>6</v>
      </c>
      <c r="P619" s="31">
        <v>1</v>
      </c>
      <c r="Q619" s="32">
        <v>2015</v>
      </c>
    </row>
    <row r="620" spans="1:17" x14ac:dyDescent="0.25">
      <c r="A620" s="1" t="s">
        <v>261</v>
      </c>
      <c r="B620" s="31">
        <v>75.5</v>
      </c>
      <c r="C620" s="1" t="s">
        <v>20</v>
      </c>
      <c r="D620" s="2">
        <v>42644</v>
      </c>
      <c r="E620" s="2">
        <v>42644</v>
      </c>
      <c r="F620" s="17">
        <v>2273000</v>
      </c>
      <c r="G620" s="17">
        <v>30105.96</v>
      </c>
      <c r="H620" s="1"/>
      <c r="I620" s="1" t="s">
        <v>21</v>
      </c>
      <c r="J620" s="1" t="s">
        <v>22</v>
      </c>
      <c r="K620" s="1"/>
      <c r="L620" s="1" t="s">
        <v>252</v>
      </c>
      <c r="M620" s="1"/>
      <c r="N620" s="1"/>
      <c r="O620" s="31">
        <v>8</v>
      </c>
      <c r="P620" s="31">
        <v>2</v>
      </c>
      <c r="Q620" s="32">
        <v>2016</v>
      </c>
    </row>
    <row r="621" spans="1:17" x14ac:dyDescent="0.25">
      <c r="A621" s="1" t="s">
        <v>261</v>
      </c>
      <c r="B621" s="31">
        <v>75.5</v>
      </c>
      <c r="C621" s="1" t="s">
        <v>20</v>
      </c>
      <c r="D621" s="2">
        <v>42644</v>
      </c>
      <c r="E621" s="2">
        <v>42644</v>
      </c>
      <c r="F621" s="17">
        <v>2273000</v>
      </c>
      <c r="G621" s="17">
        <v>30105.96</v>
      </c>
      <c r="H621" s="1"/>
      <c r="I621" s="1" t="s">
        <v>21</v>
      </c>
      <c r="J621" s="1" t="s">
        <v>22</v>
      </c>
      <c r="K621" s="1"/>
      <c r="L621" s="1" t="s">
        <v>252</v>
      </c>
      <c r="M621" s="1"/>
      <c r="N621" s="1"/>
      <c r="O621" s="31">
        <v>8</v>
      </c>
      <c r="P621" s="31">
        <v>2</v>
      </c>
      <c r="Q621" s="32">
        <v>2016</v>
      </c>
    </row>
    <row r="622" spans="1:17" x14ac:dyDescent="0.25">
      <c r="A622" s="1" t="s">
        <v>256</v>
      </c>
      <c r="B622" s="31">
        <v>33.200000000000003</v>
      </c>
      <c r="C622" s="1" t="s">
        <v>20</v>
      </c>
      <c r="D622" s="2">
        <v>42767</v>
      </c>
      <c r="E622" s="2">
        <v>42767</v>
      </c>
      <c r="F622" s="17">
        <v>1000000</v>
      </c>
      <c r="G622" s="17">
        <v>30120.48</v>
      </c>
      <c r="H622" s="1"/>
      <c r="I622" s="1" t="s">
        <v>21</v>
      </c>
      <c r="J622" s="1" t="s">
        <v>32</v>
      </c>
      <c r="K622" s="1"/>
      <c r="L622" s="1" t="s">
        <v>252</v>
      </c>
      <c r="M622" s="1"/>
      <c r="N622" s="1" t="s">
        <v>254</v>
      </c>
      <c r="O622" s="31">
        <v>7</v>
      </c>
      <c r="P622" s="31">
        <v>1</v>
      </c>
      <c r="Q622" s="32">
        <v>2002</v>
      </c>
    </row>
    <row r="623" spans="1:17" x14ac:dyDescent="0.25">
      <c r="A623" s="1" t="s">
        <v>253</v>
      </c>
      <c r="B623" s="31">
        <v>43.1</v>
      </c>
      <c r="C623" s="1" t="s">
        <v>20</v>
      </c>
      <c r="D623" s="2">
        <v>42644</v>
      </c>
      <c r="E623" s="2">
        <v>42644</v>
      </c>
      <c r="F623" s="17">
        <v>1299650</v>
      </c>
      <c r="G623" s="17">
        <v>30154.29</v>
      </c>
      <c r="H623" s="1"/>
      <c r="I623" s="1" t="s">
        <v>21</v>
      </c>
      <c r="J623" s="1" t="s">
        <v>32</v>
      </c>
      <c r="K623" s="1"/>
      <c r="L623" s="1" t="s">
        <v>252</v>
      </c>
      <c r="M623" s="1"/>
      <c r="N623" s="1" t="s">
        <v>258</v>
      </c>
      <c r="O623" s="31">
        <v>3</v>
      </c>
      <c r="P623" s="31">
        <v>2</v>
      </c>
      <c r="Q623" s="32">
        <v>2007</v>
      </c>
    </row>
    <row r="624" spans="1:17" x14ac:dyDescent="0.25">
      <c r="A624" s="1" t="s">
        <v>253</v>
      </c>
      <c r="B624" s="31">
        <v>43.1</v>
      </c>
      <c r="C624" s="1" t="s">
        <v>20</v>
      </c>
      <c r="D624" s="2">
        <v>42644</v>
      </c>
      <c r="E624" s="2">
        <v>42644</v>
      </c>
      <c r="F624" s="17">
        <v>1299650</v>
      </c>
      <c r="G624" s="17">
        <v>30154.29</v>
      </c>
      <c r="H624" s="1"/>
      <c r="I624" s="1" t="s">
        <v>21</v>
      </c>
      <c r="J624" s="1" t="s">
        <v>32</v>
      </c>
      <c r="K624" s="1"/>
      <c r="L624" s="1" t="s">
        <v>252</v>
      </c>
      <c r="M624" s="1"/>
      <c r="N624" s="1" t="s">
        <v>258</v>
      </c>
      <c r="O624" s="31">
        <v>3</v>
      </c>
      <c r="P624" s="31">
        <v>2</v>
      </c>
      <c r="Q624" s="32">
        <v>2007</v>
      </c>
    </row>
    <row r="625" spans="1:17" x14ac:dyDescent="0.25">
      <c r="A625" s="1" t="s">
        <v>253</v>
      </c>
      <c r="B625" s="31">
        <v>61</v>
      </c>
      <c r="C625" s="1" t="s">
        <v>20</v>
      </c>
      <c r="D625" s="2">
        <v>42675</v>
      </c>
      <c r="E625" s="2">
        <v>42675</v>
      </c>
      <c r="F625" s="17">
        <v>1840000</v>
      </c>
      <c r="G625" s="17">
        <v>30163.93</v>
      </c>
      <c r="H625" s="1"/>
      <c r="I625" s="1" t="s">
        <v>21</v>
      </c>
      <c r="J625" s="1" t="s">
        <v>22</v>
      </c>
      <c r="K625" s="1"/>
      <c r="L625" s="1" t="s">
        <v>252</v>
      </c>
      <c r="M625" s="1"/>
      <c r="N625" s="1"/>
      <c r="O625" s="31">
        <v>4</v>
      </c>
      <c r="P625" s="31">
        <v>1</v>
      </c>
      <c r="Q625" s="32">
        <v>2016</v>
      </c>
    </row>
    <row r="626" spans="1:17" x14ac:dyDescent="0.25">
      <c r="A626" s="1" t="s">
        <v>271</v>
      </c>
      <c r="B626" s="31">
        <v>29.8</v>
      </c>
      <c r="C626" s="1" t="s">
        <v>20</v>
      </c>
      <c r="D626" s="2">
        <v>42736</v>
      </c>
      <c r="E626" s="2">
        <v>42736</v>
      </c>
      <c r="F626" s="17">
        <v>900000</v>
      </c>
      <c r="G626" s="17">
        <v>30201.34</v>
      </c>
      <c r="H626" s="1"/>
      <c r="I626" s="1" t="s">
        <v>21</v>
      </c>
      <c r="J626" s="1" t="s">
        <v>32</v>
      </c>
      <c r="K626" s="1"/>
      <c r="L626" s="1" t="s">
        <v>252</v>
      </c>
      <c r="M626" s="1"/>
      <c r="N626" s="1"/>
      <c r="O626" s="31">
        <v>2</v>
      </c>
      <c r="P626" s="31">
        <v>1</v>
      </c>
      <c r="Q626" s="32">
        <v>2003</v>
      </c>
    </row>
    <row r="627" spans="1:17" x14ac:dyDescent="0.25">
      <c r="A627" s="1" t="s">
        <v>253</v>
      </c>
      <c r="B627" s="31">
        <v>49.6</v>
      </c>
      <c r="C627" s="1" t="s">
        <v>20</v>
      </c>
      <c r="D627" s="2">
        <v>42705</v>
      </c>
      <c r="E627" s="2">
        <v>42705</v>
      </c>
      <c r="F627" s="17">
        <v>1500000</v>
      </c>
      <c r="G627" s="17">
        <v>30241.94</v>
      </c>
      <c r="H627" s="1"/>
      <c r="I627" s="1" t="s">
        <v>21</v>
      </c>
      <c r="J627" s="1" t="s">
        <v>32</v>
      </c>
      <c r="K627" s="1"/>
      <c r="L627" s="1" t="s">
        <v>252</v>
      </c>
      <c r="M627" s="1"/>
      <c r="N627" s="1" t="s">
        <v>278</v>
      </c>
      <c r="O627" s="31">
        <v>4</v>
      </c>
      <c r="P627" s="31">
        <v>1</v>
      </c>
      <c r="Q627" s="32">
        <v>2014</v>
      </c>
    </row>
    <row r="628" spans="1:17" x14ac:dyDescent="0.25">
      <c r="A628" s="1" t="s">
        <v>261</v>
      </c>
      <c r="B628" s="31">
        <v>56.8</v>
      </c>
      <c r="C628" s="1" t="s">
        <v>20</v>
      </c>
      <c r="D628" s="2">
        <v>42705</v>
      </c>
      <c r="E628" s="2">
        <v>42705</v>
      </c>
      <c r="F628" s="17">
        <v>1724800</v>
      </c>
      <c r="G628" s="17">
        <v>30366.2</v>
      </c>
      <c r="H628" s="1"/>
      <c r="I628" s="1" t="s">
        <v>21</v>
      </c>
      <c r="J628" s="1" t="s">
        <v>22</v>
      </c>
      <c r="K628" s="1"/>
      <c r="L628" s="1" t="s">
        <v>252</v>
      </c>
      <c r="M628" s="1"/>
      <c r="N628" s="1"/>
      <c r="O628" s="31">
        <v>9</v>
      </c>
      <c r="P628" s="31">
        <v>2</v>
      </c>
      <c r="Q628" s="32">
        <v>2016</v>
      </c>
    </row>
    <row r="629" spans="1:17" x14ac:dyDescent="0.25">
      <c r="A629" s="1" t="s">
        <v>261</v>
      </c>
      <c r="B629" s="31">
        <v>56.8</v>
      </c>
      <c r="C629" s="1" t="s">
        <v>20</v>
      </c>
      <c r="D629" s="2">
        <v>42705</v>
      </c>
      <c r="E629" s="2">
        <v>42705</v>
      </c>
      <c r="F629" s="17">
        <v>1724800</v>
      </c>
      <c r="G629" s="17">
        <v>30366.2</v>
      </c>
      <c r="H629" s="1"/>
      <c r="I629" s="1" t="s">
        <v>21</v>
      </c>
      <c r="J629" s="1" t="s">
        <v>22</v>
      </c>
      <c r="K629" s="1"/>
      <c r="L629" s="1" t="s">
        <v>252</v>
      </c>
      <c r="M629" s="1"/>
      <c r="N629" s="1"/>
      <c r="O629" s="31">
        <v>9</v>
      </c>
      <c r="P629" s="31">
        <v>2</v>
      </c>
      <c r="Q629" s="32">
        <v>2016</v>
      </c>
    </row>
    <row r="630" spans="1:17" x14ac:dyDescent="0.25">
      <c r="A630" s="1" t="s">
        <v>264</v>
      </c>
      <c r="B630" s="31">
        <v>41.8</v>
      </c>
      <c r="C630" s="1" t="s">
        <v>20</v>
      </c>
      <c r="D630" s="2">
        <v>42736</v>
      </c>
      <c r="E630" s="2">
        <v>42767</v>
      </c>
      <c r="F630" s="17">
        <v>1271200</v>
      </c>
      <c r="G630" s="17">
        <v>30411.48</v>
      </c>
      <c r="H630" s="1"/>
      <c r="I630" s="1" t="s">
        <v>21</v>
      </c>
      <c r="J630" s="1" t="s">
        <v>32</v>
      </c>
      <c r="K630" s="1"/>
      <c r="L630" s="1" t="s">
        <v>252</v>
      </c>
      <c r="M630" s="1"/>
      <c r="N630" s="1"/>
      <c r="O630" s="31">
        <v>5</v>
      </c>
      <c r="P630" s="31">
        <v>2</v>
      </c>
      <c r="Q630" s="32">
        <v>2009</v>
      </c>
    </row>
    <row r="631" spans="1:17" x14ac:dyDescent="0.25">
      <c r="A631" s="1" t="s">
        <v>264</v>
      </c>
      <c r="B631" s="31">
        <v>41.8</v>
      </c>
      <c r="C631" s="1" t="s">
        <v>20</v>
      </c>
      <c r="D631" s="2">
        <v>42736</v>
      </c>
      <c r="E631" s="2">
        <v>42767</v>
      </c>
      <c r="F631" s="17">
        <v>1271200</v>
      </c>
      <c r="G631" s="17">
        <v>30411.48</v>
      </c>
      <c r="H631" s="1"/>
      <c r="I631" s="1" t="s">
        <v>21</v>
      </c>
      <c r="J631" s="1" t="s">
        <v>32</v>
      </c>
      <c r="K631" s="1"/>
      <c r="L631" s="1" t="s">
        <v>252</v>
      </c>
      <c r="M631" s="1"/>
      <c r="N631" s="1"/>
      <c r="O631" s="31">
        <v>5</v>
      </c>
      <c r="P631" s="31">
        <v>2</v>
      </c>
      <c r="Q631" s="32">
        <v>2009</v>
      </c>
    </row>
    <row r="632" spans="1:17" x14ac:dyDescent="0.25">
      <c r="A632" s="1" t="s">
        <v>271</v>
      </c>
      <c r="B632" s="31">
        <v>45.9</v>
      </c>
      <c r="C632" s="1" t="s">
        <v>20</v>
      </c>
      <c r="D632" s="2">
        <v>42675</v>
      </c>
      <c r="E632" s="2">
        <v>42675</v>
      </c>
      <c r="F632" s="17">
        <v>1400000</v>
      </c>
      <c r="G632" s="17">
        <v>30501.09</v>
      </c>
      <c r="H632" s="1"/>
      <c r="I632" s="1" t="s">
        <v>21</v>
      </c>
      <c r="J632" s="1" t="s">
        <v>32</v>
      </c>
      <c r="K632" s="1"/>
      <c r="L632" s="1" t="s">
        <v>252</v>
      </c>
      <c r="M632" s="1"/>
      <c r="N632" s="1" t="s">
        <v>258</v>
      </c>
      <c r="O632" s="31">
        <v>3</v>
      </c>
      <c r="P632" s="31">
        <v>2</v>
      </c>
      <c r="Q632" s="32">
        <v>2016</v>
      </c>
    </row>
    <row r="633" spans="1:17" x14ac:dyDescent="0.25">
      <c r="A633" s="1" t="s">
        <v>271</v>
      </c>
      <c r="B633" s="31">
        <v>45.9</v>
      </c>
      <c r="C633" s="1" t="s">
        <v>20</v>
      </c>
      <c r="D633" s="2">
        <v>42675</v>
      </c>
      <c r="E633" s="2">
        <v>42675</v>
      </c>
      <c r="F633" s="17">
        <v>1400000</v>
      </c>
      <c r="G633" s="17">
        <v>30501.09</v>
      </c>
      <c r="H633" s="1"/>
      <c r="I633" s="1" t="s">
        <v>21</v>
      </c>
      <c r="J633" s="1" t="s">
        <v>32</v>
      </c>
      <c r="K633" s="1"/>
      <c r="L633" s="1" t="s">
        <v>252</v>
      </c>
      <c r="M633" s="1"/>
      <c r="N633" s="1" t="s">
        <v>258</v>
      </c>
      <c r="O633" s="31">
        <v>3</v>
      </c>
      <c r="P633" s="31">
        <v>2</v>
      </c>
      <c r="Q633" s="32">
        <v>2016</v>
      </c>
    </row>
    <row r="634" spans="1:17" x14ac:dyDescent="0.25">
      <c r="A634" s="1" t="s">
        <v>268</v>
      </c>
      <c r="B634" s="31">
        <v>42.6</v>
      </c>
      <c r="C634" s="1" t="s">
        <v>20</v>
      </c>
      <c r="D634" s="2">
        <v>42736</v>
      </c>
      <c r="E634" s="2">
        <v>42767</v>
      </c>
      <c r="F634" s="17">
        <v>1300000</v>
      </c>
      <c r="G634" s="17">
        <v>30516.43</v>
      </c>
      <c r="H634" s="1"/>
      <c r="I634" s="1" t="s">
        <v>21</v>
      </c>
      <c r="J634" s="1" t="s">
        <v>32</v>
      </c>
      <c r="K634" s="1"/>
      <c r="L634" s="1" t="s">
        <v>252</v>
      </c>
      <c r="M634" s="1"/>
      <c r="N634" s="1" t="s">
        <v>258</v>
      </c>
      <c r="O634" s="31">
        <v>3</v>
      </c>
      <c r="P634" s="31">
        <v>1</v>
      </c>
      <c r="Q634" s="32">
        <v>2001</v>
      </c>
    </row>
    <row r="635" spans="1:17" x14ac:dyDescent="0.25">
      <c r="A635" s="1" t="s">
        <v>253</v>
      </c>
      <c r="B635" s="31">
        <v>61.3</v>
      </c>
      <c r="C635" s="1" t="s">
        <v>20</v>
      </c>
      <c r="D635" s="2">
        <v>42675</v>
      </c>
      <c r="E635" s="2">
        <v>42675</v>
      </c>
      <c r="F635" s="17">
        <v>1872000</v>
      </c>
      <c r="G635" s="17">
        <v>30538.34</v>
      </c>
      <c r="H635" s="1"/>
      <c r="I635" s="1" t="s">
        <v>21</v>
      </c>
      <c r="J635" s="1" t="s">
        <v>32</v>
      </c>
      <c r="K635" s="1"/>
      <c r="L635" s="1" t="s">
        <v>252</v>
      </c>
      <c r="M635" s="1"/>
      <c r="N635" s="1" t="s">
        <v>254</v>
      </c>
      <c r="O635" s="31">
        <v>2</v>
      </c>
      <c r="P635" s="31">
        <v>2</v>
      </c>
      <c r="Q635" s="32">
        <v>2003</v>
      </c>
    </row>
    <row r="636" spans="1:17" x14ac:dyDescent="0.25">
      <c r="A636" s="1" t="s">
        <v>253</v>
      </c>
      <c r="B636" s="31">
        <v>61.3</v>
      </c>
      <c r="C636" s="1" t="s">
        <v>20</v>
      </c>
      <c r="D636" s="2">
        <v>42675</v>
      </c>
      <c r="E636" s="2">
        <v>42675</v>
      </c>
      <c r="F636" s="17">
        <v>1872000</v>
      </c>
      <c r="G636" s="17">
        <v>30538.34</v>
      </c>
      <c r="H636" s="1"/>
      <c r="I636" s="1" t="s">
        <v>21</v>
      </c>
      <c r="J636" s="1" t="s">
        <v>32</v>
      </c>
      <c r="K636" s="1"/>
      <c r="L636" s="1" t="s">
        <v>252</v>
      </c>
      <c r="M636" s="1"/>
      <c r="N636" s="1" t="s">
        <v>254</v>
      </c>
      <c r="O636" s="31">
        <v>2</v>
      </c>
      <c r="P636" s="31">
        <v>2</v>
      </c>
      <c r="Q636" s="32">
        <v>2003</v>
      </c>
    </row>
    <row r="637" spans="1:17" x14ac:dyDescent="0.25">
      <c r="A637" s="1" t="s">
        <v>264</v>
      </c>
      <c r="B637" s="31">
        <v>31.4</v>
      </c>
      <c r="C637" s="1" t="s">
        <v>20</v>
      </c>
      <c r="D637" s="2">
        <v>42705</v>
      </c>
      <c r="E637" s="2">
        <v>42705</v>
      </c>
      <c r="F637" s="17">
        <v>960000</v>
      </c>
      <c r="G637" s="17">
        <v>30573.25</v>
      </c>
      <c r="H637" s="1"/>
      <c r="I637" s="1" t="s">
        <v>21</v>
      </c>
      <c r="J637" s="1" t="s">
        <v>32</v>
      </c>
      <c r="K637" s="1"/>
      <c r="L637" s="1" t="s">
        <v>252</v>
      </c>
      <c r="M637" s="1"/>
      <c r="N637" s="1" t="s">
        <v>258</v>
      </c>
      <c r="O637" s="31">
        <v>3</v>
      </c>
      <c r="P637" s="31">
        <v>1</v>
      </c>
      <c r="Q637" s="32">
        <v>2007</v>
      </c>
    </row>
    <row r="638" spans="1:17" x14ac:dyDescent="0.25">
      <c r="A638" s="1" t="s">
        <v>264</v>
      </c>
      <c r="B638" s="31">
        <v>30.3</v>
      </c>
      <c r="C638" s="1" t="s">
        <v>20</v>
      </c>
      <c r="D638" s="2">
        <v>42614</v>
      </c>
      <c r="E638" s="2">
        <v>42644</v>
      </c>
      <c r="F638" s="17">
        <v>928000</v>
      </c>
      <c r="G638" s="17">
        <v>30627.06</v>
      </c>
      <c r="H638" s="1"/>
      <c r="I638" s="1" t="s">
        <v>21</v>
      </c>
      <c r="J638" s="1" t="s">
        <v>32</v>
      </c>
      <c r="K638" s="1"/>
      <c r="L638" s="1" t="s">
        <v>252</v>
      </c>
      <c r="M638" s="1"/>
      <c r="N638" s="1" t="s">
        <v>258</v>
      </c>
      <c r="O638" s="31">
        <v>3</v>
      </c>
      <c r="P638" s="31">
        <v>1</v>
      </c>
      <c r="Q638" s="32">
        <v>2013</v>
      </c>
    </row>
    <row r="639" spans="1:17" x14ac:dyDescent="0.25">
      <c r="A639" s="1" t="s">
        <v>259</v>
      </c>
      <c r="B639" s="31">
        <v>32.6</v>
      </c>
      <c r="C639" s="1" t="s">
        <v>20</v>
      </c>
      <c r="D639" s="2">
        <v>42644</v>
      </c>
      <c r="E639" s="2">
        <v>42675</v>
      </c>
      <c r="F639" s="17">
        <v>1000000</v>
      </c>
      <c r="G639" s="17">
        <v>30674.85</v>
      </c>
      <c r="H639" s="1"/>
      <c r="I639" s="1" t="s">
        <v>21</v>
      </c>
      <c r="J639" s="1" t="s">
        <v>22</v>
      </c>
      <c r="K639" s="1"/>
      <c r="L639" s="1" t="s">
        <v>252</v>
      </c>
      <c r="M639" s="1"/>
      <c r="N639" s="1" t="s">
        <v>174</v>
      </c>
      <c r="O639" s="31">
        <v>2</v>
      </c>
      <c r="P639" s="31">
        <v>1</v>
      </c>
      <c r="Q639" s="32">
        <v>2016</v>
      </c>
    </row>
    <row r="640" spans="1:17" x14ac:dyDescent="0.25">
      <c r="A640" s="1" t="s">
        <v>267</v>
      </c>
      <c r="B640" s="31">
        <v>58.2</v>
      </c>
      <c r="C640" s="1" t="s">
        <v>20</v>
      </c>
      <c r="D640" s="2">
        <v>42705</v>
      </c>
      <c r="E640" s="2">
        <v>42705</v>
      </c>
      <c r="F640" s="17">
        <v>1792800</v>
      </c>
      <c r="G640" s="17">
        <v>30804.12</v>
      </c>
      <c r="H640" s="1"/>
      <c r="I640" s="1" t="s">
        <v>21</v>
      </c>
      <c r="J640" s="1" t="s">
        <v>32</v>
      </c>
      <c r="K640" s="1"/>
      <c r="L640" s="1" t="s">
        <v>252</v>
      </c>
      <c r="M640" s="1"/>
      <c r="N640" s="1"/>
      <c r="O640" s="31">
        <v>9</v>
      </c>
      <c r="P640" s="31">
        <v>1</v>
      </c>
      <c r="Q640" s="32">
        <v>2016</v>
      </c>
    </row>
    <row r="641" spans="1:17" x14ac:dyDescent="0.25">
      <c r="A641" s="1" t="s">
        <v>270</v>
      </c>
      <c r="B641" s="31">
        <v>63.3</v>
      </c>
      <c r="C641" s="1" t="s">
        <v>20</v>
      </c>
      <c r="D641" s="2">
        <v>42705</v>
      </c>
      <c r="E641" s="2">
        <v>42705</v>
      </c>
      <c r="F641" s="17">
        <v>1950000</v>
      </c>
      <c r="G641" s="17">
        <v>30805.69</v>
      </c>
      <c r="H641" s="1"/>
      <c r="I641" s="1" t="s">
        <v>21</v>
      </c>
      <c r="J641" s="1" t="s">
        <v>32</v>
      </c>
      <c r="K641" s="1"/>
      <c r="L641" s="1" t="s">
        <v>252</v>
      </c>
      <c r="M641" s="1"/>
      <c r="N641" s="1"/>
      <c r="O641" s="31">
        <v>9</v>
      </c>
      <c r="P641" s="31">
        <v>2</v>
      </c>
      <c r="Q641" s="32">
        <v>2001</v>
      </c>
    </row>
    <row r="642" spans="1:17" x14ac:dyDescent="0.25">
      <c r="A642" s="1" t="s">
        <v>270</v>
      </c>
      <c r="B642" s="31">
        <v>49.3</v>
      </c>
      <c r="C642" s="1" t="s">
        <v>20</v>
      </c>
      <c r="D642" s="2">
        <v>42705</v>
      </c>
      <c r="E642" s="2">
        <v>42705</v>
      </c>
      <c r="F642" s="17">
        <v>1520000</v>
      </c>
      <c r="G642" s="17">
        <v>30831.64</v>
      </c>
      <c r="H642" s="1"/>
      <c r="I642" s="1" t="s">
        <v>21</v>
      </c>
      <c r="J642" s="1" t="s">
        <v>32</v>
      </c>
      <c r="K642" s="1"/>
      <c r="L642" s="1" t="s">
        <v>252</v>
      </c>
      <c r="M642" s="1"/>
      <c r="N642" s="1" t="s">
        <v>265</v>
      </c>
      <c r="O642" s="31">
        <v>3</v>
      </c>
      <c r="P642" s="31">
        <v>1</v>
      </c>
      <c r="Q642" s="32">
        <v>2001</v>
      </c>
    </row>
    <row r="643" spans="1:17" x14ac:dyDescent="0.25">
      <c r="A643" s="1" t="s">
        <v>255</v>
      </c>
      <c r="B643" s="31">
        <v>53.1</v>
      </c>
      <c r="C643" s="1" t="s">
        <v>20</v>
      </c>
      <c r="D643" s="2">
        <v>42675</v>
      </c>
      <c r="E643" s="2">
        <v>42675</v>
      </c>
      <c r="F643" s="17">
        <v>1640000</v>
      </c>
      <c r="G643" s="17">
        <v>30885.119999999999</v>
      </c>
      <c r="H643" s="1"/>
      <c r="I643" s="1" t="s">
        <v>21</v>
      </c>
      <c r="J643" s="1" t="s">
        <v>32</v>
      </c>
      <c r="K643" s="1"/>
      <c r="L643" s="1" t="s">
        <v>252</v>
      </c>
      <c r="M643" s="1"/>
      <c r="N643" s="1"/>
      <c r="O643" s="31">
        <v>1</v>
      </c>
      <c r="P643" s="31">
        <v>2</v>
      </c>
      <c r="Q643" s="32">
        <v>2007</v>
      </c>
    </row>
    <row r="644" spans="1:17" x14ac:dyDescent="0.25">
      <c r="A644" s="1" t="s">
        <v>255</v>
      </c>
      <c r="B644" s="31">
        <v>53.1</v>
      </c>
      <c r="C644" s="1" t="s">
        <v>20</v>
      </c>
      <c r="D644" s="2">
        <v>42675</v>
      </c>
      <c r="E644" s="2">
        <v>42675</v>
      </c>
      <c r="F644" s="17">
        <v>1640000</v>
      </c>
      <c r="G644" s="17">
        <v>30885.119999999999</v>
      </c>
      <c r="H644" s="1"/>
      <c r="I644" s="1" t="s">
        <v>21</v>
      </c>
      <c r="J644" s="1" t="s">
        <v>32</v>
      </c>
      <c r="K644" s="1"/>
      <c r="L644" s="1" t="s">
        <v>252</v>
      </c>
      <c r="M644" s="1"/>
      <c r="N644" s="1"/>
      <c r="O644" s="31">
        <v>1</v>
      </c>
      <c r="P644" s="31">
        <v>2</v>
      </c>
      <c r="Q644" s="32">
        <v>2007</v>
      </c>
    </row>
    <row r="645" spans="1:17" x14ac:dyDescent="0.25">
      <c r="A645" s="1" t="s">
        <v>268</v>
      </c>
      <c r="B645" s="31">
        <v>30.3</v>
      </c>
      <c r="C645" s="1" t="s">
        <v>20</v>
      </c>
      <c r="D645" s="2">
        <v>42644</v>
      </c>
      <c r="E645" s="2">
        <v>42644</v>
      </c>
      <c r="F645" s="17">
        <v>936000</v>
      </c>
      <c r="G645" s="17">
        <v>30891.09</v>
      </c>
      <c r="H645" s="1"/>
      <c r="I645" s="1" t="s">
        <v>21</v>
      </c>
      <c r="J645" s="1" t="s">
        <v>32</v>
      </c>
      <c r="K645" s="1"/>
      <c r="L645" s="1" t="s">
        <v>252</v>
      </c>
      <c r="M645" s="1"/>
      <c r="N645" s="1" t="s">
        <v>130</v>
      </c>
      <c r="O645" s="31">
        <v>3</v>
      </c>
      <c r="P645" s="31">
        <v>1</v>
      </c>
      <c r="Q645" s="32">
        <v>2003</v>
      </c>
    </row>
    <row r="646" spans="1:17" x14ac:dyDescent="0.25">
      <c r="A646" s="1" t="s">
        <v>261</v>
      </c>
      <c r="B646" s="31">
        <v>37.700000000000003</v>
      </c>
      <c r="C646" s="1" t="s">
        <v>20</v>
      </c>
      <c r="D646" s="2">
        <v>42705</v>
      </c>
      <c r="E646" s="2">
        <v>42705</v>
      </c>
      <c r="F646" s="17">
        <v>1168000</v>
      </c>
      <c r="G646" s="17">
        <v>30981.43</v>
      </c>
      <c r="H646" s="1"/>
      <c r="I646" s="1" t="s">
        <v>21</v>
      </c>
      <c r="J646" s="1" t="s">
        <v>22</v>
      </c>
      <c r="K646" s="1"/>
      <c r="L646" s="1" t="s">
        <v>252</v>
      </c>
      <c r="M646" s="1"/>
      <c r="N646" s="1"/>
      <c r="O646" s="31">
        <v>9</v>
      </c>
      <c r="P646" s="31">
        <v>1</v>
      </c>
      <c r="Q646" s="32">
        <v>2016</v>
      </c>
    </row>
    <row r="647" spans="1:17" x14ac:dyDescent="0.25">
      <c r="A647" s="1" t="s">
        <v>262</v>
      </c>
      <c r="B647" s="31">
        <v>45.1</v>
      </c>
      <c r="C647" s="1" t="s">
        <v>20</v>
      </c>
      <c r="D647" s="2">
        <v>42705</v>
      </c>
      <c r="E647" s="2">
        <v>42736</v>
      </c>
      <c r="F647" s="17">
        <v>1398100</v>
      </c>
      <c r="G647" s="17">
        <v>31000</v>
      </c>
      <c r="H647" s="1"/>
      <c r="I647" s="1" t="s">
        <v>21</v>
      </c>
      <c r="J647" s="1" t="s">
        <v>22</v>
      </c>
      <c r="K647" s="1"/>
      <c r="L647" s="1" t="s">
        <v>252</v>
      </c>
      <c r="M647" s="1"/>
      <c r="N647" s="1"/>
      <c r="O647" s="31">
        <v>4</v>
      </c>
      <c r="P647" s="31">
        <v>2</v>
      </c>
      <c r="Q647" s="32">
        <v>2016</v>
      </c>
    </row>
    <row r="648" spans="1:17" x14ac:dyDescent="0.25">
      <c r="A648" s="1" t="s">
        <v>262</v>
      </c>
      <c r="B648" s="31">
        <v>52.6</v>
      </c>
      <c r="C648" s="1" t="s">
        <v>20</v>
      </c>
      <c r="D648" s="2">
        <v>42705</v>
      </c>
      <c r="E648" s="2">
        <v>42736</v>
      </c>
      <c r="F648" s="17">
        <v>1630600</v>
      </c>
      <c r="G648" s="17">
        <v>31000</v>
      </c>
      <c r="H648" s="1"/>
      <c r="I648" s="1" t="s">
        <v>21</v>
      </c>
      <c r="J648" s="1" t="s">
        <v>22</v>
      </c>
      <c r="K648" s="1"/>
      <c r="L648" s="1" t="s">
        <v>252</v>
      </c>
      <c r="M648" s="1"/>
      <c r="N648" s="1"/>
      <c r="O648" s="31">
        <v>3</v>
      </c>
      <c r="P648" s="31">
        <v>2</v>
      </c>
      <c r="Q648" s="32">
        <v>2016</v>
      </c>
    </row>
    <row r="649" spans="1:17" x14ac:dyDescent="0.25">
      <c r="A649" s="1" t="s">
        <v>262</v>
      </c>
      <c r="B649" s="31">
        <v>45.1</v>
      </c>
      <c r="C649" s="1" t="s">
        <v>20</v>
      </c>
      <c r="D649" s="2">
        <v>42705</v>
      </c>
      <c r="E649" s="2">
        <v>42736</v>
      </c>
      <c r="F649" s="17">
        <v>1398100</v>
      </c>
      <c r="G649" s="17">
        <v>31000</v>
      </c>
      <c r="H649" s="1"/>
      <c r="I649" s="1" t="s">
        <v>21</v>
      </c>
      <c r="J649" s="1" t="s">
        <v>22</v>
      </c>
      <c r="K649" s="1"/>
      <c r="L649" s="1" t="s">
        <v>252</v>
      </c>
      <c r="M649" s="1"/>
      <c r="N649" s="1"/>
      <c r="O649" s="31">
        <v>4</v>
      </c>
      <c r="P649" s="31">
        <v>2</v>
      </c>
      <c r="Q649" s="32">
        <v>2016</v>
      </c>
    </row>
    <row r="650" spans="1:17" x14ac:dyDescent="0.25">
      <c r="A650" s="1" t="s">
        <v>262</v>
      </c>
      <c r="B650" s="31">
        <v>52.6</v>
      </c>
      <c r="C650" s="1" t="s">
        <v>20</v>
      </c>
      <c r="D650" s="2">
        <v>42705</v>
      </c>
      <c r="E650" s="2">
        <v>42736</v>
      </c>
      <c r="F650" s="17">
        <v>1630600</v>
      </c>
      <c r="G650" s="17">
        <v>31000</v>
      </c>
      <c r="H650" s="1"/>
      <c r="I650" s="1" t="s">
        <v>21</v>
      </c>
      <c r="J650" s="1" t="s">
        <v>22</v>
      </c>
      <c r="K650" s="1"/>
      <c r="L650" s="1" t="s">
        <v>252</v>
      </c>
      <c r="M650" s="1"/>
      <c r="N650" s="1"/>
      <c r="O650" s="31">
        <v>3</v>
      </c>
      <c r="P650" s="31">
        <v>2</v>
      </c>
      <c r="Q650" s="32">
        <v>2016</v>
      </c>
    </row>
    <row r="651" spans="1:17" x14ac:dyDescent="0.25">
      <c r="A651" s="1" t="s">
        <v>270</v>
      </c>
      <c r="B651" s="31">
        <v>38.6</v>
      </c>
      <c r="C651" s="1" t="s">
        <v>20</v>
      </c>
      <c r="D651" s="2">
        <v>42705</v>
      </c>
      <c r="E651" s="2">
        <v>42705</v>
      </c>
      <c r="F651" s="17">
        <v>1200000</v>
      </c>
      <c r="G651" s="17">
        <v>31088.080000000002</v>
      </c>
      <c r="H651" s="1"/>
      <c r="I651" s="1" t="s">
        <v>21</v>
      </c>
      <c r="J651" s="1" t="s">
        <v>32</v>
      </c>
      <c r="K651" s="1"/>
      <c r="L651" s="1" t="s">
        <v>252</v>
      </c>
      <c r="M651" s="1"/>
      <c r="N651" s="1" t="s">
        <v>130</v>
      </c>
      <c r="O651" s="31">
        <v>9</v>
      </c>
      <c r="P651" s="31">
        <v>1</v>
      </c>
      <c r="Q651" s="32">
        <v>2007</v>
      </c>
    </row>
    <row r="652" spans="1:17" x14ac:dyDescent="0.25">
      <c r="A652" s="1" t="s">
        <v>275</v>
      </c>
      <c r="B652" s="31">
        <v>61</v>
      </c>
      <c r="C652" s="1" t="s">
        <v>20</v>
      </c>
      <c r="D652" s="2">
        <v>42675</v>
      </c>
      <c r="E652" s="2">
        <v>42675</v>
      </c>
      <c r="F652" s="17">
        <v>1900000</v>
      </c>
      <c r="G652" s="17">
        <v>31147.54</v>
      </c>
      <c r="H652" s="1"/>
      <c r="I652" s="1" t="s">
        <v>21</v>
      </c>
      <c r="J652" s="1" t="s">
        <v>32</v>
      </c>
      <c r="K652" s="1"/>
      <c r="L652" s="1" t="s">
        <v>252</v>
      </c>
      <c r="M652" s="1"/>
      <c r="N652" s="1" t="s">
        <v>265</v>
      </c>
      <c r="O652" s="31">
        <v>5</v>
      </c>
      <c r="P652" s="31">
        <v>1</v>
      </c>
      <c r="Q652" s="32">
        <v>2012</v>
      </c>
    </row>
    <row r="653" spans="1:17" x14ac:dyDescent="0.25">
      <c r="A653" s="1" t="s">
        <v>263</v>
      </c>
      <c r="B653" s="31">
        <v>35.200000000000003</v>
      </c>
      <c r="C653" s="1" t="s">
        <v>20</v>
      </c>
      <c r="D653" s="2">
        <v>42614</v>
      </c>
      <c r="E653" s="2">
        <v>42644</v>
      </c>
      <c r="F653" s="17">
        <v>1100000</v>
      </c>
      <c r="G653" s="17">
        <v>31250</v>
      </c>
      <c r="H653" s="1"/>
      <c r="I653" s="1" t="s">
        <v>21</v>
      </c>
      <c r="J653" s="1" t="s">
        <v>32</v>
      </c>
      <c r="K653" s="1"/>
      <c r="L653" s="1" t="s">
        <v>252</v>
      </c>
      <c r="M653" s="1"/>
      <c r="N653" s="1" t="s">
        <v>130</v>
      </c>
      <c r="O653" s="31">
        <v>9</v>
      </c>
      <c r="P653" s="31">
        <v>2</v>
      </c>
      <c r="Q653" s="32">
        <v>2006</v>
      </c>
    </row>
    <row r="654" spans="1:17" x14ac:dyDescent="0.25">
      <c r="A654" s="1" t="s">
        <v>263</v>
      </c>
      <c r="B654" s="31">
        <v>35.200000000000003</v>
      </c>
      <c r="C654" s="1" t="s">
        <v>20</v>
      </c>
      <c r="D654" s="2">
        <v>42614</v>
      </c>
      <c r="E654" s="2">
        <v>42644</v>
      </c>
      <c r="F654" s="17">
        <v>1100000</v>
      </c>
      <c r="G654" s="17">
        <v>31250</v>
      </c>
      <c r="H654" s="1"/>
      <c r="I654" s="1" t="s">
        <v>21</v>
      </c>
      <c r="J654" s="1" t="s">
        <v>32</v>
      </c>
      <c r="K654" s="1"/>
      <c r="L654" s="1" t="s">
        <v>252</v>
      </c>
      <c r="M654" s="1"/>
      <c r="N654" s="1" t="s">
        <v>130</v>
      </c>
      <c r="O654" s="31">
        <v>9</v>
      </c>
      <c r="P654" s="31">
        <v>2</v>
      </c>
      <c r="Q654" s="32">
        <v>2006</v>
      </c>
    </row>
    <row r="655" spans="1:17" x14ac:dyDescent="0.25">
      <c r="A655" s="1" t="s">
        <v>267</v>
      </c>
      <c r="B655" s="31">
        <v>38.4</v>
      </c>
      <c r="C655" s="1" t="s">
        <v>20</v>
      </c>
      <c r="D655" s="2">
        <v>42644</v>
      </c>
      <c r="E655" s="2">
        <v>42675</v>
      </c>
      <c r="F655" s="17">
        <v>1200000</v>
      </c>
      <c r="G655" s="17">
        <v>31250</v>
      </c>
      <c r="H655" s="1"/>
      <c r="I655" s="1" t="s">
        <v>21</v>
      </c>
      <c r="J655" s="1" t="s">
        <v>22</v>
      </c>
      <c r="K655" s="1"/>
      <c r="L655" s="1" t="s">
        <v>252</v>
      </c>
      <c r="M655" s="1"/>
      <c r="N655" s="1"/>
      <c r="O655" s="31">
        <v>5</v>
      </c>
      <c r="P655" s="31">
        <v>1</v>
      </c>
      <c r="Q655" s="32">
        <v>2016</v>
      </c>
    </row>
    <row r="656" spans="1:17" x14ac:dyDescent="0.25">
      <c r="A656" s="1" t="s">
        <v>263</v>
      </c>
      <c r="B656" s="31">
        <v>36.6</v>
      </c>
      <c r="C656" s="1" t="s">
        <v>20</v>
      </c>
      <c r="D656" s="2">
        <v>42767</v>
      </c>
      <c r="E656" s="2">
        <v>42767</v>
      </c>
      <c r="F656" s="17">
        <v>1144000</v>
      </c>
      <c r="G656" s="17">
        <v>31256.83</v>
      </c>
      <c r="H656" s="1"/>
      <c r="I656" s="1" t="s">
        <v>21</v>
      </c>
      <c r="J656" s="1" t="s">
        <v>32</v>
      </c>
      <c r="K656" s="1"/>
      <c r="L656" s="1" t="s">
        <v>252</v>
      </c>
      <c r="M656" s="1"/>
      <c r="N656" s="1" t="s">
        <v>59</v>
      </c>
      <c r="O656" s="31">
        <v>5</v>
      </c>
      <c r="P656" s="31">
        <v>1</v>
      </c>
      <c r="Q656" s="32">
        <v>2001</v>
      </c>
    </row>
    <row r="657" spans="1:17" x14ac:dyDescent="0.25">
      <c r="A657" s="1" t="s">
        <v>267</v>
      </c>
      <c r="B657" s="31">
        <v>58.8</v>
      </c>
      <c r="C657" s="1" t="s">
        <v>20</v>
      </c>
      <c r="D657" s="2">
        <v>42675</v>
      </c>
      <c r="E657" s="2">
        <v>42675</v>
      </c>
      <c r="F657" s="17">
        <v>1840000</v>
      </c>
      <c r="G657" s="17">
        <v>31292.52</v>
      </c>
      <c r="H657" s="1"/>
      <c r="I657" s="1" t="s">
        <v>21</v>
      </c>
      <c r="J657" s="1" t="s">
        <v>22</v>
      </c>
      <c r="K657" s="1"/>
      <c r="L657" s="1" t="s">
        <v>252</v>
      </c>
      <c r="M657" s="1"/>
      <c r="N657" s="1"/>
      <c r="O657" s="31">
        <v>8</v>
      </c>
      <c r="P657" s="31">
        <v>1</v>
      </c>
      <c r="Q657" s="32">
        <v>2016</v>
      </c>
    </row>
    <row r="658" spans="1:17" x14ac:dyDescent="0.25">
      <c r="A658" s="1" t="s">
        <v>256</v>
      </c>
      <c r="B658" s="31">
        <v>28.7</v>
      </c>
      <c r="C658" s="1" t="s">
        <v>20</v>
      </c>
      <c r="D658" s="2">
        <v>42675</v>
      </c>
      <c r="E658" s="2">
        <v>42675</v>
      </c>
      <c r="F658" s="17">
        <v>900000</v>
      </c>
      <c r="G658" s="17">
        <v>31358.89</v>
      </c>
      <c r="H658" s="1"/>
      <c r="I658" s="1" t="s">
        <v>21</v>
      </c>
      <c r="J658" s="1" t="s">
        <v>32</v>
      </c>
      <c r="K658" s="1"/>
      <c r="L658" s="1" t="s">
        <v>252</v>
      </c>
      <c r="M658" s="1"/>
      <c r="N658" s="1"/>
      <c r="O658" s="31">
        <v>7</v>
      </c>
      <c r="P658" s="31">
        <v>1</v>
      </c>
      <c r="Q658" s="32">
        <v>2007</v>
      </c>
    </row>
    <row r="659" spans="1:17" x14ac:dyDescent="0.25">
      <c r="A659" s="1" t="s">
        <v>264</v>
      </c>
      <c r="B659" s="31">
        <v>13.3</v>
      </c>
      <c r="C659" s="1" t="s">
        <v>20</v>
      </c>
      <c r="D659" s="2">
        <v>42767</v>
      </c>
      <c r="E659" s="2">
        <v>42767</v>
      </c>
      <c r="F659" s="17">
        <v>417100</v>
      </c>
      <c r="G659" s="17">
        <v>31360.9</v>
      </c>
      <c r="H659" s="1"/>
      <c r="I659" s="1" t="s">
        <v>21</v>
      </c>
      <c r="J659" s="1" t="s">
        <v>32</v>
      </c>
      <c r="K659" s="1"/>
      <c r="L659" s="1" t="s">
        <v>252</v>
      </c>
      <c r="M659" s="1"/>
      <c r="N659" s="1" t="s">
        <v>265</v>
      </c>
      <c r="O659" s="31">
        <v>2</v>
      </c>
      <c r="P659" s="31">
        <v>1</v>
      </c>
      <c r="Q659" s="32">
        <v>2006</v>
      </c>
    </row>
    <row r="660" spans="1:17" x14ac:dyDescent="0.25">
      <c r="A660" s="1" t="s">
        <v>262</v>
      </c>
      <c r="B660" s="31">
        <v>38.200000000000003</v>
      </c>
      <c r="C660" s="1" t="s">
        <v>20</v>
      </c>
      <c r="D660" s="2">
        <v>42614</v>
      </c>
      <c r="E660" s="2">
        <v>42644</v>
      </c>
      <c r="F660" s="17">
        <v>1200000</v>
      </c>
      <c r="G660" s="17">
        <v>31413.61</v>
      </c>
      <c r="H660" s="1"/>
      <c r="I660" s="1" t="s">
        <v>21</v>
      </c>
      <c r="J660" s="1" t="s">
        <v>32</v>
      </c>
      <c r="K660" s="1"/>
      <c r="L660" s="1" t="s">
        <v>252</v>
      </c>
      <c r="M660" s="1"/>
      <c r="N660" s="1" t="s">
        <v>258</v>
      </c>
      <c r="O660" s="31">
        <v>1</v>
      </c>
      <c r="P660" s="31">
        <v>1</v>
      </c>
      <c r="Q660" s="32">
        <v>2012</v>
      </c>
    </row>
    <row r="661" spans="1:17" x14ac:dyDescent="0.25">
      <c r="A661" s="1" t="s">
        <v>267</v>
      </c>
      <c r="B661" s="31">
        <v>58.8</v>
      </c>
      <c r="C661" s="1" t="s">
        <v>20</v>
      </c>
      <c r="D661" s="2">
        <v>42705</v>
      </c>
      <c r="E661" s="2">
        <v>42705</v>
      </c>
      <c r="F661" s="17">
        <v>1847400</v>
      </c>
      <c r="G661" s="17">
        <v>31418.37</v>
      </c>
      <c r="H661" s="1"/>
      <c r="I661" s="1" t="s">
        <v>21</v>
      </c>
      <c r="J661" s="1" t="s">
        <v>22</v>
      </c>
      <c r="K661" s="1"/>
      <c r="L661" s="1" t="s">
        <v>252</v>
      </c>
      <c r="M661" s="1"/>
      <c r="N661" s="1"/>
      <c r="O661" s="31">
        <v>9</v>
      </c>
      <c r="P661" s="31">
        <v>2</v>
      </c>
      <c r="Q661" s="32">
        <v>2016</v>
      </c>
    </row>
    <row r="662" spans="1:17" x14ac:dyDescent="0.25">
      <c r="A662" s="1" t="s">
        <v>267</v>
      </c>
      <c r="B662" s="31">
        <v>58.8</v>
      </c>
      <c r="C662" s="1" t="s">
        <v>20</v>
      </c>
      <c r="D662" s="2">
        <v>42705</v>
      </c>
      <c r="E662" s="2">
        <v>42705</v>
      </c>
      <c r="F662" s="17">
        <v>1847400</v>
      </c>
      <c r="G662" s="17">
        <v>31418.37</v>
      </c>
      <c r="H662" s="1"/>
      <c r="I662" s="1" t="s">
        <v>21</v>
      </c>
      <c r="J662" s="1" t="s">
        <v>22</v>
      </c>
      <c r="K662" s="1"/>
      <c r="L662" s="1" t="s">
        <v>252</v>
      </c>
      <c r="M662" s="1"/>
      <c r="N662" s="1"/>
      <c r="O662" s="31">
        <v>9</v>
      </c>
      <c r="P662" s="31">
        <v>2</v>
      </c>
      <c r="Q662" s="32">
        <v>2016</v>
      </c>
    </row>
    <row r="663" spans="1:17" x14ac:dyDescent="0.25">
      <c r="A663" s="1" t="s">
        <v>266</v>
      </c>
      <c r="B663" s="31">
        <v>57.5</v>
      </c>
      <c r="C663" s="1" t="s">
        <v>20</v>
      </c>
      <c r="D663" s="2">
        <v>42736</v>
      </c>
      <c r="E663" s="2">
        <v>42767</v>
      </c>
      <c r="F663" s="17">
        <v>1808000</v>
      </c>
      <c r="G663" s="17">
        <v>31443.48</v>
      </c>
      <c r="H663" s="1"/>
      <c r="I663" s="1" t="s">
        <v>21</v>
      </c>
      <c r="J663" s="1" t="s">
        <v>22</v>
      </c>
      <c r="K663" s="1"/>
      <c r="L663" s="1" t="s">
        <v>252</v>
      </c>
      <c r="M663" s="1"/>
      <c r="N663" s="1" t="s">
        <v>130</v>
      </c>
      <c r="O663" s="31">
        <v>3</v>
      </c>
      <c r="P663" s="31">
        <v>1</v>
      </c>
      <c r="Q663" s="32">
        <v>2017</v>
      </c>
    </row>
    <row r="664" spans="1:17" x14ac:dyDescent="0.25">
      <c r="A664" s="1" t="s">
        <v>266</v>
      </c>
      <c r="B664" s="31">
        <v>76.3</v>
      </c>
      <c r="C664" s="1" t="s">
        <v>20</v>
      </c>
      <c r="D664" s="2">
        <v>42767</v>
      </c>
      <c r="E664" s="2">
        <v>42767</v>
      </c>
      <c r="F664" s="17">
        <v>2400000</v>
      </c>
      <c r="G664" s="17">
        <v>31454.78</v>
      </c>
      <c r="H664" s="1"/>
      <c r="I664" s="1" t="s">
        <v>21</v>
      </c>
      <c r="J664" s="1" t="s">
        <v>22</v>
      </c>
      <c r="K664" s="1"/>
      <c r="L664" s="1" t="s">
        <v>252</v>
      </c>
      <c r="M664" s="1"/>
      <c r="N664" s="1"/>
      <c r="O664" s="31">
        <v>4</v>
      </c>
      <c r="P664" s="31">
        <v>2</v>
      </c>
      <c r="Q664" s="32">
        <v>2017</v>
      </c>
    </row>
    <row r="665" spans="1:17" x14ac:dyDescent="0.25">
      <c r="A665" s="1" t="s">
        <v>266</v>
      </c>
      <c r="B665" s="31">
        <v>76.3</v>
      </c>
      <c r="C665" s="1" t="s">
        <v>20</v>
      </c>
      <c r="D665" s="2">
        <v>42767</v>
      </c>
      <c r="E665" s="2">
        <v>42767</v>
      </c>
      <c r="F665" s="17">
        <v>2400000</v>
      </c>
      <c r="G665" s="17">
        <v>31454.78</v>
      </c>
      <c r="H665" s="1"/>
      <c r="I665" s="1" t="s">
        <v>21</v>
      </c>
      <c r="J665" s="1" t="s">
        <v>22</v>
      </c>
      <c r="K665" s="1"/>
      <c r="L665" s="1" t="s">
        <v>252</v>
      </c>
      <c r="M665" s="1"/>
      <c r="N665" s="1"/>
      <c r="O665" s="31">
        <v>4</v>
      </c>
      <c r="P665" s="31">
        <v>2</v>
      </c>
      <c r="Q665" s="32">
        <v>2017</v>
      </c>
    </row>
    <row r="666" spans="1:17" x14ac:dyDescent="0.25">
      <c r="A666" s="1" t="s">
        <v>266</v>
      </c>
      <c r="B666" s="31">
        <v>67.599999999999994</v>
      </c>
      <c r="C666" s="1" t="s">
        <v>20</v>
      </c>
      <c r="D666" s="2">
        <v>42736</v>
      </c>
      <c r="E666" s="2">
        <v>42736</v>
      </c>
      <c r="F666" s="17">
        <v>2128000</v>
      </c>
      <c r="G666" s="17">
        <v>31479.29</v>
      </c>
      <c r="H666" s="1"/>
      <c r="I666" s="1" t="s">
        <v>21</v>
      </c>
      <c r="J666" s="1" t="s">
        <v>32</v>
      </c>
      <c r="K666" s="1"/>
      <c r="L666" s="1" t="s">
        <v>252</v>
      </c>
      <c r="M666" s="1"/>
      <c r="N666" s="1" t="s">
        <v>254</v>
      </c>
      <c r="O666" s="31">
        <v>9</v>
      </c>
      <c r="P666" s="31">
        <v>2</v>
      </c>
      <c r="Q666" s="32">
        <v>2010</v>
      </c>
    </row>
    <row r="667" spans="1:17" x14ac:dyDescent="0.25">
      <c r="A667" s="1" t="s">
        <v>266</v>
      </c>
      <c r="B667" s="31">
        <v>67.599999999999994</v>
      </c>
      <c r="C667" s="1" t="s">
        <v>20</v>
      </c>
      <c r="D667" s="2">
        <v>42736</v>
      </c>
      <c r="E667" s="2">
        <v>42736</v>
      </c>
      <c r="F667" s="17">
        <v>2128000</v>
      </c>
      <c r="G667" s="17">
        <v>31479.29</v>
      </c>
      <c r="H667" s="1"/>
      <c r="I667" s="1" t="s">
        <v>21</v>
      </c>
      <c r="J667" s="1" t="s">
        <v>32</v>
      </c>
      <c r="K667" s="1"/>
      <c r="L667" s="1" t="s">
        <v>252</v>
      </c>
      <c r="M667" s="1"/>
      <c r="N667" s="1" t="s">
        <v>254</v>
      </c>
      <c r="O667" s="31">
        <v>9</v>
      </c>
      <c r="P667" s="31">
        <v>2</v>
      </c>
      <c r="Q667" s="32">
        <v>2010</v>
      </c>
    </row>
    <row r="668" spans="1:17" x14ac:dyDescent="0.25">
      <c r="A668" s="1" t="s">
        <v>275</v>
      </c>
      <c r="B668" s="31">
        <v>61.9</v>
      </c>
      <c r="C668" s="1" t="s">
        <v>20</v>
      </c>
      <c r="D668" s="2">
        <v>42675</v>
      </c>
      <c r="E668" s="2">
        <v>42675</v>
      </c>
      <c r="F668" s="17">
        <v>1950000</v>
      </c>
      <c r="G668" s="17">
        <v>31502.42</v>
      </c>
      <c r="H668" s="1"/>
      <c r="I668" s="1" t="s">
        <v>21</v>
      </c>
      <c r="J668" s="1" t="s">
        <v>32</v>
      </c>
      <c r="K668" s="1"/>
      <c r="L668" s="1" t="s">
        <v>252</v>
      </c>
      <c r="M668" s="1"/>
      <c r="N668" s="1" t="s">
        <v>269</v>
      </c>
      <c r="O668" s="31">
        <v>3</v>
      </c>
      <c r="P668" s="31">
        <v>2</v>
      </c>
      <c r="Q668" s="32">
        <v>2008</v>
      </c>
    </row>
    <row r="669" spans="1:17" x14ac:dyDescent="0.25">
      <c r="A669" s="1" t="s">
        <v>275</v>
      </c>
      <c r="B669" s="31">
        <v>61.9</v>
      </c>
      <c r="C669" s="1" t="s">
        <v>20</v>
      </c>
      <c r="D669" s="2">
        <v>42675</v>
      </c>
      <c r="E669" s="2">
        <v>42675</v>
      </c>
      <c r="F669" s="17">
        <v>1950000</v>
      </c>
      <c r="G669" s="17">
        <v>31502.42</v>
      </c>
      <c r="H669" s="1"/>
      <c r="I669" s="1" t="s">
        <v>21</v>
      </c>
      <c r="J669" s="1" t="s">
        <v>32</v>
      </c>
      <c r="K669" s="1"/>
      <c r="L669" s="1" t="s">
        <v>252</v>
      </c>
      <c r="M669" s="1"/>
      <c r="N669" s="1" t="s">
        <v>269</v>
      </c>
      <c r="O669" s="31">
        <v>3</v>
      </c>
      <c r="P669" s="31">
        <v>2</v>
      </c>
      <c r="Q669" s="32">
        <v>2008</v>
      </c>
    </row>
    <row r="670" spans="1:17" x14ac:dyDescent="0.25">
      <c r="A670" s="1" t="s">
        <v>253</v>
      </c>
      <c r="B670" s="31">
        <v>30.3</v>
      </c>
      <c r="C670" s="1" t="s">
        <v>20</v>
      </c>
      <c r="D670" s="2">
        <v>42705</v>
      </c>
      <c r="E670" s="2">
        <v>42705</v>
      </c>
      <c r="F670" s="17">
        <v>955000</v>
      </c>
      <c r="G670" s="17">
        <v>31518.15</v>
      </c>
      <c r="H670" s="1"/>
      <c r="I670" s="1" t="s">
        <v>21</v>
      </c>
      <c r="J670" s="1" t="s">
        <v>32</v>
      </c>
      <c r="K670" s="1"/>
      <c r="L670" s="1" t="s">
        <v>252</v>
      </c>
      <c r="M670" s="1"/>
      <c r="N670" s="1" t="s">
        <v>254</v>
      </c>
      <c r="O670" s="31">
        <v>1</v>
      </c>
      <c r="P670" s="31">
        <v>2</v>
      </c>
      <c r="Q670" s="32">
        <v>2001</v>
      </c>
    </row>
    <row r="671" spans="1:17" x14ac:dyDescent="0.25">
      <c r="A671" s="1" t="s">
        <v>253</v>
      </c>
      <c r="B671" s="31">
        <v>30.3</v>
      </c>
      <c r="C671" s="1" t="s">
        <v>20</v>
      </c>
      <c r="D671" s="2">
        <v>42705</v>
      </c>
      <c r="E671" s="2">
        <v>42705</v>
      </c>
      <c r="F671" s="17">
        <v>955000</v>
      </c>
      <c r="G671" s="17">
        <v>31518.15</v>
      </c>
      <c r="H671" s="1"/>
      <c r="I671" s="1" t="s">
        <v>21</v>
      </c>
      <c r="J671" s="1" t="s">
        <v>32</v>
      </c>
      <c r="K671" s="1"/>
      <c r="L671" s="1" t="s">
        <v>252</v>
      </c>
      <c r="M671" s="1"/>
      <c r="N671" s="1" t="s">
        <v>254</v>
      </c>
      <c r="O671" s="31">
        <v>1</v>
      </c>
      <c r="P671" s="31">
        <v>2</v>
      </c>
      <c r="Q671" s="32">
        <v>2001</v>
      </c>
    </row>
    <row r="672" spans="1:17" x14ac:dyDescent="0.25">
      <c r="A672" s="1" t="s">
        <v>270</v>
      </c>
      <c r="B672" s="31">
        <v>43.8</v>
      </c>
      <c r="C672" s="1" t="s">
        <v>20</v>
      </c>
      <c r="D672" s="2">
        <v>42736</v>
      </c>
      <c r="E672" s="2">
        <v>42736</v>
      </c>
      <c r="F672" s="17">
        <v>1381500</v>
      </c>
      <c r="G672" s="17">
        <v>31541.1</v>
      </c>
      <c r="H672" s="1"/>
      <c r="I672" s="1" t="s">
        <v>21</v>
      </c>
      <c r="J672" s="1" t="s">
        <v>22</v>
      </c>
      <c r="K672" s="1"/>
      <c r="L672" s="1" t="s">
        <v>252</v>
      </c>
      <c r="M672" s="1"/>
      <c r="N672" s="1" t="s">
        <v>118</v>
      </c>
      <c r="O672" s="31">
        <v>2</v>
      </c>
      <c r="P672" s="31">
        <v>2</v>
      </c>
      <c r="Q672" s="32">
        <v>2017</v>
      </c>
    </row>
    <row r="673" spans="1:17" x14ac:dyDescent="0.25">
      <c r="A673" s="1" t="s">
        <v>270</v>
      </c>
      <c r="B673" s="31">
        <v>43.8</v>
      </c>
      <c r="C673" s="1" t="s">
        <v>20</v>
      </c>
      <c r="D673" s="2">
        <v>42736</v>
      </c>
      <c r="E673" s="2">
        <v>42736</v>
      </c>
      <c r="F673" s="17">
        <v>1381500</v>
      </c>
      <c r="G673" s="17">
        <v>31541.1</v>
      </c>
      <c r="H673" s="1"/>
      <c r="I673" s="1" t="s">
        <v>21</v>
      </c>
      <c r="J673" s="1" t="s">
        <v>22</v>
      </c>
      <c r="K673" s="1"/>
      <c r="L673" s="1" t="s">
        <v>252</v>
      </c>
      <c r="M673" s="1"/>
      <c r="N673" s="1" t="s">
        <v>118</v>
      </c>
      <c r="O673" s="31">
        <v>2</v>
      </c>
      <c r="P673" s="31">
        <v>2</v>
      </c>
      <c r="Q673" s="32">
        <v>2017</v>
      </c>
    </row>
    <row r="674" spans="1:17" x14ac:dyDescent="0.25">
      <c r="A674" s="1" t="s">
        <v>253</v>
      </c>
      <c r="B674" s="31">
        <v>42.8</v>
      </c>
      <c r="C674" s="1" t="s">
        <v>20</v>
      </c>
      <c r="D674" s="2">
        <v>42705</v>
      </c>
      <c r="E674" s="2">
        <v>42705</v>
      </c>
      <c r="F674" s="17">
        <v>1350000</v>
      </c>
      <c r="G674" s="17">
        <v>31542.06</v>
      </c>
      <c r="H674" s="1"/>
      <c r="I674" s="1" t="s">
        <v>21</v>
      </c>
      <c r="J674" s="1" t="s">
        <v>32</v>
      </c>
      <c r="K674" s="1"/>
      <c r="L674" s="1" t="s">
        <v>252</v>
      </c>
      <c r="M674" s="1"/>
      <c r="N674" s="1"/>
      <c r="O674" s="31">
        <v>4</v>
      </c>
      <c r="P674" s="31">
        <v>1</v>
      </c>
      <c r="Q674" s="32">
        <v>2016</v>
      </c>
    </row>
    <row r="675" spans="1:17" x14ac:dyDescent="0.25">
      <c r="A675" s="1" t="s">
        <v>263</v>
      </c>
      <c r="B675" s="31">
        <v>53.3</v>
      </c>
      <c r="C675" s="1" t="s">
        <v>20</v>
      </c>
      <c r="D675" s="2">
        <v>42767</v>
      </c>
      <c r="E675" s="2">
        <v>42767</v>
      </c>
      <c r="F675" s="17">
        <v>1681600</v>
      </c>
      <c r="G675" s="17">
        <v>31549.72</v>
      </c>
      <c r="H675" s="1"/>
      <c r="I675" s="1" t="s">
        <v>21</v>
      </c>
      <c r="J675" s="1" t="s">
        <v>22</v>
      </c>
      <c r="K675" s="1"/>
      <c r="L675" s="1" t="s">
        <v>252</v>
      </c>
      <c r="M675" s="1"/>
      <c r="N675" s="1"/>
      <c r="O675" s="31">
        <v>7</v>
      </c>
      <c r="P675" s="31">
        <v>2</v>
      </c>
      <c r="Q675" s="32">
        <v>2017</v>
      </c>
    </row>
    <row r="676" spans="1:17" x14ac:dyDescent="0.25">
      <c r="A676" s="1" t="s">
        <v>263</v>
      </c>
      <c r="B676" s="31">
        <v>53.3</v>
      </c>
      <c r="C676" s="1" t="s">
        <v>20</v>
      </c>
      <c r="D676" s="2">
        <v>42767</v>
      </c>
      <c r="E676" s="2">
        <v>42767</v>
      </c>
      <c r="F676" s="17">
        <v>1681600</v>
      </c>
      <c r="G676" s="17">
        <v>31549.72</v>
      </c>
      <c r="H676" s="1"/>
      <c r="I676" s="1" t="s">
        <v>21</v>
      </c>
      <c r="J676" s="1" t="s">
        <v>22</v>
      </c>
      <c r="K676" s="1"/>
      <c r="L676" s="1" t="s">
        <v>252</v>
      </c>
      <c r="M676" s="1"/>
      <c r="N676" s="1"/>
      <c r="O676" s="31">
        <v>7</v>
      </c>
      <c r="P676" s="31">
        <v>2</v>
      </c>
      <c r="Q676" s="32">
        <v>2017</v>
      </c>
    </row>
    <row r="677" spans="1:17" x14ac:dyDescent="0.25">
      <c r="A677" s="1" t="s">
        <v>256</v>
      </c>
      <c r="B677" s="31">
        <v>64.5</v>
      </c>
      <c r="C677" s="1" t="s">
        <v>20</v>
      </c>
      <c r="D677" s="2">
        <v>42644</v>
      </c>
      <c r="E677" s="2">
        <v>42675</v>
      </c>
      <c r="F677" s="17">
        <v>2038000</v>
      </c>
      <c r="G677" s="17">
        <v>31596.9</v>
      </c>
      <c r="H677" s="1"/>
      <c r="I677" s="1" t="s">
        <v>21</v>
      </c>
      <c r="J677" s="1" t="s">
        <v>32</v>
      </c>
      <c r="K677" s="1"/>
      <c r="L677" s="1" t="s">
        <v>252</v>
      </c>
      <c r="M677" s="1"/>
      <c r="N677" s="1"/>
      <c r="O677" s="31">
        <v>5</v>
      </c>
      <c r="P677" s="31">
        <v>2</v>
      </c>
      <c r="Q677" s="32">
        <v>2001</v>
      </c>
    </row>
    <row r="678" spans="1:17" x14ac:dyDescent="0.25">
      <c r="A678" s="1" t="s">
        <v>256</v>
      </c>
      <c r="B678" s="31">
        <v>64.5</v>
      </c>
      <c r="C678" s="1" t="s">
        <v>20</v>
      </c>
      <c r="D678" s="2">
        <v>42644</v>
      </c>
      <c r="E678" s="2">
        <v>42675</v>
      </c>
      <c r="F678" s="17">
        <v>2038000</v>
      </c>
      <c r="G678" s="17">
        <v>31596.9</v>
      </c>
      <c r="H678" s="1"/>
      <c r="I678" s="1" t="s">
        <v>21</v>
      </c>
      <c r="J678" s="1" t="s">
        <v>32</v>
      </c>
      <c r="K678" s="1"/>
      <c r="L678" s="1" t="s">
        <v>252</v>
      </c>
      <c r="M678" s="1"/>
      <c r="N678" s="1"/>
      <c r="O678" s="31">
        <v>5</v>
      </c>
      <c r="P678" s="31">
        <v>2</v>
      </c>
      <c r="Q678" s="32">
        <v>2001</v>
      </c>
    </row>
    <row r="679" spans="1:17" x14ac:dyDescent="0.25">
      <c r="A679" s="1" t="s">
        <v>271</v>
      </c>
      <c r="B679" s="31">
        <v>30.6</v>
      </c>
      <c r="C679" s="1" t="s">
        <v>20</v>
      </c>
      <c r="D679" s="2">
        <v>42705</v>
      </c>
      <c r="E679" s="2">
        <v>42705</v>
      </c>
      <c r="F679" s="17">
        <v>968000</v>
      </c>
      <c r="G679" s="17">
        <v>31633.99</v>
      </c>
      <c r="H679" s="1"/>
      <c r="I679" s="1" t="s">
        <v>21</v>
      </c>
      <c r="J679" s="1" t="s">
        <v>32</v>
      </c>
      <c r="K679" s="1"/>
      <c r="L679" s="1" t="s">
        <v>252</v>
      </c>
      <c r="M679" s="1"/>
      <c r="N679" s="1" t="s">
        <v>257</v>
      </c>
      <c r="O679" s="31">
        <v>4</v>
      </c>
      <c r="P679" s="31">
        <v>1</v>
      </c>
      <c r="Q679" s="32">
        <v>2007</v>
      </c>
    </row>
    <row r="680" spans="1:17" x14ac:dyDescent="0.25">
      <c r="A680" s="1" t="s">
        <v>261</v>
      </c>
      <c r="B680" s="31">
        <v>37.299999999999997</v>
      </c>
      <c r="C680" s="1" t="s">
        <v>20</v>
      </c>
      <c r="D680" s="2">
        <v>42705</v>
      </c>
      <c r="E680" s="2">
        <v>42705</v>
      </c>
      <c r="F680" s="17">
        <v>1180000</v>
      </c>
      <c r="G680" s="17">
        <v>31635.39</v>
      </c>
      <c r="H680" s="1"/>
      <c r="I680" s="1" t="s">
        <v>21</v>
      </c>
      <c r="J680" s="1" t="s">
        <v>22</v>
      </c>
      <c r="K680" s="1"/>
      <c r="L680" s="1" t="s">
        <v>252</v>
      </c>
      <c r="M680" s="1"/>
      <c r="N680" s="1"/>
      <c r="O680" s="31">
        <v>8</v>
      </c>
      <c r="P680" s="31">
        <v>1</v>
      </c>
      <c r="Q680" s="32">
        <v>2016</v>
      </c>
    </row>
    <row r="681" spans="1:17" x14ac:dyDescent="0.25">
      <c r="A681" s="1" t="s">
        <v>262</v>
      </c>
      <c r="B681" s="31">
        <v>59.9</v>
      </c>
      <c r="C681" s="1" t="s">
        <v>20</v>
      </c>
      <c r="D681" s="2">
        <v>42644</v>
      </c>
      <c r="E681" s="2">
        <v>42644</v>
      </c>
      <c r="F681" s="17">
        <v>1900000</v>
      </c>
      <c r="G681" s="17">
        <v>31719.53</v>
      </c>
      <c r="H681" s="1"/>
      <c r="I681" s="1" t="s">
        <v>21</v>
      </c>
      <c r="J681" s="1" t="s">
        <v>32</v>
      </c>
      <c r="K681" s="1"/>
      <c r="L681" s="1" t="s">
        <v>252</v>
      </c>
      <c r="M681" s="1"/>
      <c r="N681" s="1"/>
      <c r="O681" s="31">
        <v>4</v>
      </c>
      <c r="P681" s="31">
        <v>1</v>
      </c>
      <c r="Q681" s="32">
        <v>2010</v>
      </c>
    </row>
    <row r="682" spans="1:17" x14ac:dyDescent="0.25">
      <c r="A682" s="1" t="s">
        <v>270</v>
      </c>
      <c r="B682" s="31">
        <v>34.299999999999997</v>
      </c>
      <c r="C682" s="1" t="s">
        <v>20</v>
      </c>
      <c r="D682" s="2">
        <v>42705</v>
      </c>
      <c r="E682" s="2">
        <v>42705</v>
      </c>
      <c r="F682" s="17">
        <v>1088000</v>
      </c>
      <c r="G682" s="17">
        <v>31720.12</v>
      </c>
      <c r="H682" s="1"/>
      <c r="I682" s="1" t="s">
        <v>21</v>
      </c>
      <c r="J682" s="1" t="s">
        <v>22</v>
      </c>
      <c r="K682" s="1"/>
      <c r="L682" s="1" t="s">
        <v>252</v>
      </c>
      <c r="M682" s="1"/>
      <c r="N682" s="1"/>
      <c r="O682" s="31">
        <v>4</v>
      </c>
      <c r="P682" s="31">
        <v>2</v>
      </c>
      <c r="Q682" s="32">
        <v>2016</v>
      </c>
    </row>
    <row r="683" spans="1:17" x14ac:dyDescent="0.25">
      <c r="A683" s="1" t="s">
        <v>270</v>
      </c>
      <c r="B683" s="31">
        <v>34.299999999999997</v>
      </c>
      <c r="C683" s="1" t="s">
        <v>20</v>
      </c>
      <c r="D683" s="2">
        <v>42705</v>
      </c>
      <c r="E683" s="2">
        <v>42705</v>
      </c>
      <c r="F683" s="17">
        <v>1088000</v>
      </c>
      <c r="G683" s="17">
        <v>31720.12</v>
      </c>
      <c r="H683" s="1"/>
      <c r="I683" s="1" t="s">
        <v>21</v>
      </c>
      <c r="J683" s="1" t="s">
        <v>22</v>
      </c>
      <c r="K683" s="1"/>
      <c r="L683" s="1" t="s">
        <v>252</v>
      </c>
      <c r="M683" s="1"/>
      <c r="N683" s="1"/>
      <c r="O683" s="31">
        <v>4</v>
      </c>
      <c r="P683" s="31">
        <v>2</v>
      </c>
      <c r="Q683" s="32">
        <v>2016</v>
      </c>
    </row>
    <row r="684" spans="1:17" x14ac:dyDescent="0.25">
      <c r="A684" s="1" t="s">
        <v>268</v>
      </c>
      <c r="B684" s="31">
        <v>40.9</v>
      </c>
      <c r="C684" s="1" t="s">
        <v>20</v>
      </c>
      <c r="D684" s="2">
        <v>42644</v>
      </c>
      <c r="E684" s="2">
        <v>42644</v>
      </c>
      <c r="F684" s="17">
        <v>1300000</v>
      </c>
      <c r="G684" s="17">
        <v>31784.84</v>
      </c>
      <c r="H684" s="1"/>
      <c r="I684" s="1" t="s">
        <v>21</v>
      </c>
      <c r="J684" s="1" t="s">
        <v>32</v>
      </c>
      <c r="K684" s="1"/>
      <c r="L684" s="1" t="s">
        <v>252</v>
      </c>
      <c r="M684" s="1"/>
      <c r="N684" s="1" t="s">
        <v>130</v>
      </c>
      <c r="O684" s="31">
        <v>2</v>
      </c>
      <c r="P684" s="31">
        <v>1</v>
      </c>
      <c r="Q684" s="32">
        <v>2003</v>
      </c>
    </row>
    <row r="685" spans="1:17" x14ac:dyDescent="0.25">
      <c r="A685" s="1" t="s">
        <v>264</v>
      </c>
      <c r="B685" s="31">
        <v>30.8</v>
      </c>
      <c r="C685" s="1" t="s">
        <v>20</v>
      </c>
      <c r="D685" s="2">
        <v>42675</v>
      </c>
      <c r="E685" s="2">
        <v>42675</v>
      </c>
      <c r="F685" s="17">
        <v>980000</v>
      </c>
      <c r="G685" s="17">
        <v>31818.18</v>
      </c>
      <c r="H685" s="1"/>
      <c r="I685" s="1" t="s">
        <v>21</v>
      </c>
      <c r="J685" s="1" t="s">
        <v>22</v>
      </c>
      <c r="K685" s="1"/>
      <c r="L685" s="1" t="s">
        <v>252</v>
      </c>
      <c r="M685" s="1"/>
      <c r="N685" s="1"/>
      <c r="O685" s="31">
        <v>2</v>
      </c>
      <c r="P685" s="31">
        <v>1</v>
      </c>
      <c r="Q685" s="32">
        <v>2016</v>
      </c>
    </row>
    <row r="686" spans="1:17" x14ac:dyDescent="0.25">
      <c r="A686" s="1" t="s">
        <v>260</v>
      </c>
      <c r="B686" s="31">
        <v>40.799999999999997</v>
      </c>
      <c r="C686" s="1" t="s">
        <v>20</v>
      </c>
      <c r="D686" s="2">
        <v>42614</v>
      </c>
      <c r="E686" s="2">
        <v>42644</v>
      </c>
      <c r="F686" s="17">
        <v>1300000</v>
      </c>
      <c r="G686" s="17">
        <v>31862.75</v>
      </c>
      <c r="H686" s="1"/>
      <c r="I686" s="1" t="s">
        <v>21</v>
      </c>
      <c r="J686" s="1" t="s">
        <v>32</v>
      </c>
      <c r="K686" s="1"/>
      <c r="L686" s="1" t="s">
        <v>252</v>
      </c>
      <c r="M686" s="1"/>
      <c r="N686" s="1" t="s">
        <v>258</v>
      </c>
      <c r="O686" s="31">
        <v>1</v>
      </c>
      <c r="P686" s="31">
        <v>2</v>
      </c>
      <c r="Q686" s="32">
        <v>2009</v>
      </c>
    </row>
    <row r="687" spans="1:17" x14ac:dyDescent="0.25">
      <c r="A687" s="1" t="s">
        <v>260</v>
      </c>
      <c r="B687" s="31">
        <v>40.799999999999997</v>
      </c>
      <c r="C687" s="1" t="s">
        <v>20</v>
      </c>
      <c r="D687" s="2">
        <v>42614</v>
      </c>
      <c r="E687" s="2">
        <v>42644</v>
      </c>
      <c r="F687" s="17">
        <v>1300000</v>
      </c>
      <c r="G687" s="17">
        <v>31862.75</v>
      </c>
      <c r="H687" s="1"/>
      <c r="I687" s="1" t="s">
        <v>21</v>
      </c>
      <c r="J687" s="1" t="s">
        <v>32</v>
      </c>
      <c r="K687" s="1"/>
      <c r="L687" s="1" t="s">
        <v>252</v>
      </c>
      <c r="M687" s="1"/>
      <c r="N687" s="1" t="s">
        <v>258</v>
      </c>
      <c r="O687" s="31">
        <v>1</v>
      </c>
      <c r="P687" s="31">
        <v>2</v>
      </c>
      <c r="Q687" s="32">
        <v>2009</v>
      </c>
    </row>
    <row r="688" spans="1:17" x14ac:dyDescent="0.25">
      <c r="A688" s="1" t="s">
        <v>263</v>
      </c>
      <c r="B688" s="31">
        <v>35.200000000000003</v>
      </c>
      <c r="C688" s="1" t="s">
        <v>20</v>
      </c>
      <c r="D688" s="2">
        <v>42705</v>
      </c>
      <c r="E688" s="2">
        <v>42705</v>
      </c>
      <c r="F688" s="17">
        <v>1122000</v>
      </c>
      <c r="G688" s="17">
        <v>31875</v>
      </c>
      <c r="H688" s="1"/>
      <c r="I688" s="1" t="s">
        <v>21</v>
      </c>
      <c r="J688" s="1" t="s">
        <v>22</v>
      </c>
      <c r="K688" s="1"/>
      <c r="L688" s="1" t="s">
        <v>252</v>
      </c>
      <c r="M688" s="1"/>
      <c r="N688" s="1"/>
      <c r="O688" s="31">
        <v>9</v>
      </c>
      <c r="P688" s="31">
        <v>1</v>
      </c>
      <c r="Q688" s="32">
        <v>2016</v>
      </c>
    </row>
    <row r="689" spans="1:17" x14ac:dyDescent="0.25">
      <c r="A689" s="1" t="s">
        <v>262</v>
      </c>
      <c r="B689" s="31">
        <v>29.9</v>
      </c>
      <c r="C689" s="1" t="s">
        <v>20</v>
      </c>
      <c r="D689" s="2">
        <v>42675</v>
      </c>
      <c r="E689" s="2">
        <v>42675</v>
      </c>
      <c r="F689" s="17">
        <v>956800</v>
      </c>
      <c r="G689" s="17">
        <v>32000</v>
      </c>
      <c r="H689" s="1"/>
      <c r="I689" s="1" t="s">
        <v>21</v>
      </c>
      <c r="J689" s="1" t="s">
        <v>22</v>
      </c>
      <c r="K689" s="1"/>
      <c r="L689" s="1" t="s">
        <v>252</v>
      </c>
      <c r="M689" s="1"/>
      <c r="N689" s="1"/>
      <c r="O689" s="31">
        <v>4</v>
      </c>
      <c r="P689" s="31">
        <v>2</v>
      </c>
      <c r="Q689" s="32">
        <v>2016</v>
      </c>
    </row>
    <row r="690" spans="1:17" x14ac:dyDescent="0.25">
      <c r="A690" s="1" t="s">
        <v>262</v>
      </c>
      <c r="B690" s="31">
        <v>29.9</v>
      </c>
      <c r="C690" s="1" t="s">
        <v>20</v>
      </c>
      <c r="D690" s="2">
        <v>42675</v>
      </c>
      <c r="E690" s="2">
        <v>42675</v>
      </c>
      <c r="F690" s="17">
        <v>956800</v>
      </c>
      <c r="G690" s="17">
        <v>32000</v>
      </c>
      <c r="H690" s="1"/>
      <c r="I690" s="1" t="s">
        <v>21</v>
      </c>
      <c r="J690" s="1" t="s">
        <v>22</v>
      </c>
      <c r="K690" s="1"/>
      <c r="L690" s="1" t="s">
        <v>252</v>
      </c>
      <c r="M690" s="1"/>
      <c r="N690" s="1"/>
      <c r="O690" s="31">
        <v>4</v>
      </c>
      <c r="P690" s="31">
        <v>2</v>
      </c>
      <c r="Q690" s="32">
        <v>2016</v>
      </c>
    </row>
    <row r="691" spans="1:17" x14ac:dyDescent="0.25">
      <c r="A691" s="1" t="s">
        <v>262</v>
      </c>
      <c r="B691" s="31">
        <v>63</v>
      </c>
      <c r="C691" s="1" t="s">
        <v>20</v>
      </c>
      <c r="D691" s="2">
        <v>42767</v>
      </c>
      <c r="E691" s="2">
        <v>42767</v>
      </c>
      <c r="F691" s="17">
        <v>2016000</v>
      </c>
      <c r="G691" s="17">
        <v>32000</v>
      </c>
      <c r="H691" s="1"/>
      <c r="I691" s="1" t="s">
        <v>21</v>
      </c>
      <c r="J691" s="1" t="s">
        <v>22</v>
      </c>
      <c r="K691" s="1"/>
      <c r="L691" s="1" t="s">
        <v>252</v>
      </c>
      <c r="M691" s="1"/>
      <c r="N691" s="1"/>
      <c r="O691" s="31">
        <v>1</v>
      </c>
      <c r="P691" s="31">
        <v>2</v>
      </c>
      <c r="Q691" s="32">
        <v>2016</v>
      </c>
    </row>
    <row r="692" spans="1:17" x14ac:dyDescent="0.25">
      <c r="A692" s="1" t="s">
        <v>263</v>
      </c>
      <c r="B692" s="31">
        <v>27.7</v>
      </c>
      <c r="C692" s="1" t="s">
        <v>20</v>
      </c>
      <c r="D692" s="2">
        <v>42675</v>
      </c>
      <c r="E692" s="2">
        <v>42675</v>
      </c>
      <c r="F692" s="17">
        <v>890000</v>
      </c>
      <c r="G692" s="17">
        <v>32129.96</v>
      </c>
      <c r="H692" s="1"/>
      <c r="I692" s="1" t="s">
        <v>21</v>
      </c>
      <c r="J692" s="1" t="s">
        <v>32</v>
      </c>
      <c r="K692" s="1"/>
      <c r="L692" s="1" t="s">
        <v>252</v>
      </c>
      <c r="M692" s="1"/>
      <c r="N692" s="1" t="s">
        <v>59</v>
      </c>
      <c r="O692" s="31">
        <v>3</v>
      </c>
      <c r="P692" s="31">
        <v>1</v>
      </c>
      <c r="Q692" s="32">
        <v>2000</v>
      </c>
    </row>
    <row r="693" spans="1:17" x14ac:dyDescent="0.25">
      <c r="A693" s="1" t="s">
        <v>267</v>
      </c>
      <c r="B693" s="31">
        <v>36.200000000000003</v>
      </c>
      <c r="C693" s="1" t="s">
        <v>20</v>
      </c>
      <c r="D693" s="2">
        <v>42675</v>
      </c>
      <c r="E693" s="2">
        <v>42675</v>
      </c>
      <c r="F693" s="17">
        <v>1170000</v>
      </c>
      <c r="G693" s="17">
        <v>32320.44</v>
      </c>
      <c r="H693" s="1"/>
      <c r="I693" s="1" t="s">
        <v>21</v>
      </c>
      <c r="J693" s="1" t="s">
        <v>22</v>
      </c>
      <c r="K693" s="1"/>
      <c r="L693" s="1" t="s">
        <v>252</v>
      </c>
      <c r="M693" s="1"/>
      <c r="N693" s="1"/>
      <c r="O693" s="31">
        <v>7</v>
      </c>
      <c r="P693" s="31">
        <v>1</v>
      </c>
      <c r="Q693" s="32">
        <v>2016</v>
      </c>
    </row>
    <row r="694" spans="1:17" x14ac:dyDescent="0.25">
      <c r="A694" s="1" t="s">
        <v>267</v>
      </c>
      <c r="B694" s="31">
        <v>64.3</v>
      </c>
      <c r="C694" s="1" t="s">
        <v>20</v>
      </c>
      <c r="D694" s="2">
        <v>42705</v>
      </c>
      <c r="E694" s="2">
        <v>42705</v>
      </c>
      <c r="F694" s="17">
        <v>2079200</v>
      </c>
      <c r="G694" s="17">
        <v>32335.93</v>
      </c>
      <c r="H694" s="1"/>
      <c r="I694" s="1" t="s">
        <v>21</v>
      </c>
      <c r="J694" s="1" t="s">
        <v>22</v>
      </c>
      <c r="K694" s="1"/>
      <c r="L694" s="1" t="s">
        <v>252</v>
      </c>
      <c r="M694" s="1"/>
      <c r="N694" s="1"/>
      <c r="O694" s="31">
        <v>8</v>
      </c>
      <c r="P694" s="31">
        <v>2</v>
      </c>
      <c r="Q694" s="32">
        <v>2016</v>
      </c>
    </row>
    <row r="695" spans="1:17" x14ac:dyDescent="0.25">
      <c r="A695" s="1" t="s">
        <v>267</v>
      </c>
      <c r="B695" s="31">
        <v>64.3</v>
      </c>
      <c r="C695" s="1" t="s">
        <v>20</v>
      </c>
      <c r="D695" s="2">
        <v>42705</v>
      </c>
      <c r="E695" s="2">
        <v>42705</v>
      </c>
      <c r="F695" s="17">
        <v>2079200</v>
      </c>
      <c r="G695" s="17">
        <v>32335.93</v>
      </c>
      <c r="H695" s="1"/>
      <c r="I695" s="1" t="s">
        <v>21</v>
      </c>
      <c r="J695" s="1" t="s">
        <v>22</v>
      </c>
      <c r="K695" s="1"/>
      <c r="L695" s="1" t="s">
        <v>252</v>
      </c>
      <c r="M695" s="1"/>
      <c r="N695" s="1"/>
      <c r="O695" s="31">
        <v>8</v>
      </c>
      <c r="P695" s="31">
        <v>2</v>
      </c>
      <c r="Q695" s="32">
        <v>2016</v>
      </c>
    </row>
    <row r="696" spans="1:17" x14ac:dyDescent="0.25">
      <c r="A696" s="1" t="s">
        <v>270</v>
      </c>
      <c r="B696" s="31">
        <v>49.4</v>
      </c>
      <c r="C696" s="1" t="s">
        <v>20</v>
      </c>
      <c r="D696" s="2">
        <v>42705</v>
      </c>
      <c r="E696" s="2">
        <v>42705</v>
      </c>
      <c r="F696" s="17">
        <v>1600000</v>
      </c>
      <c r="G696" s="17">
        <v>32388.66</v>
      </c>
      <c r="H696" s="1"/>
      <c r="I696" s="1" t="s">
        <v>21</v>
      </c>
      <c r="J696" s="1" t="s">
        <v>32</v>
      </c>
      <c r="K696" s="1"/>
      <c r="L696" s="1" t="s">
        <v>252</v>
      </c>
      <c r="M696" s="1"/>
      <c r="N696" s="1" t="s">
        <v>130</v>
      </c>
      <c r="O696" s="31">
        <v>1</v>
      </c>
      <c r="P696" s="31">
        <v>2</v>
      </c>
      <c r="Q696" s="32">
        <v>2005</v>
      </c>
    </row>
    <row r="697" spans="1:17" x14ac:dyDescent="0.25">
      <c r="A697" s="1" t="s">
        <v>270</v>
      </c>
      <c r="B697" s="31">
        <v>49.4</v>
      </c>
      <c r="C697" s="1" t="s">
        <v>20</v>
      </c>
      <c r="D697" s="2">
        <v>42705</v>
      </c>
      <c r="E697" s="2">
        <v>42705</v>
      </c>
      <c r="F697" s="17">
        <v>1600000</v>
      </c>
      <c r="G697" s="17">
        <v>32388.66</v>
      </c>
      <c r="H697" s="1"/>
      <c r="I697" s="1" t="s">
        <v>21</v>
      </c>
      <c r="J697" s="1" t="s">
        <v>32</v>
      </c>
      <c r="K697" s="1"/>
      <c r="L697" s="1" t="s">
        <v>252</v>
      </c>
      <c r="M697" s="1"/>
      <c r="N697" s="1" t="s">
        <v>130</v>
      </c>
      <c r="O697" s="31">
        <v>1</v>
      </c>
      <c r="P697" s="31">
        <v>2</v>
      </c>
      <c r="Q697" s="32">
        <v>2005</v>
      </c>
    </row>
    <row r="698" spans="1:17" x14ac:dyDescent="0.25">
      <c r="A698" s="1" t="s">
        <v>268</v>
      </c>
      <c r="B698" s="31">
        <v>30.1</v>
      </c>
      <c r="C698" s="1" t="s">
        <v>20</v>
      </c>
      <c r="D698" s="2">
        <v>42705</v>
      </c>
      <c r="E698" s="2">
        <v>42705</v>
      </c>
      <c r="F698" s="17">
        <v>976000</v>
      </c>
      <c r="G698" s="17">
        <v>32425.25</v>
      </c>
      <c r="H698" s="1"/>
      <c r="I698" s="1" t="s">
        <v>21</v>
      </c>
      <c r="J698" s="1" t="s">
        <v>32</v>
      </c>
      <c r="K698" s="1"/>
      <c r="L698" s="1" t="s">
        <v>252</v>
      </c>
      <c r="M698" s="1"/>
      <c r="N698" s="1" t="s">
        <v>130</v>
      </c>
      <c r="O698" s="31">
        <v>3</v>
      </c>
      <c r="P698" s="31">
        <v>1</v>
      </c>
      <c r="Q698" s="32">
        <v>2005</v>
      </c>
    </row>
    <row r="699" spans="1:17" x14ac:dyDescent="0.25">
      <c r="A699" s="1" t="s">
        <v>270</v>
      </c>
      <c r="B699" s="31">
        <v>49.3</v>
      </c>
      <c r="C699" s="1" t="s">
        <v>20</v>
      </c>
      <c r="D699" s="2">
        <v>42767</v>
      </c>
      <c r="E699" s="2">
        <v>42767</v>
      </c>
      <c r="F699" s="17">
        <v>1600000</v>
      </c>
      <c r="G699" s="17">
        <v>32454.36</v>
      </c>
      <c r="H699" s="1"/>
      <c r="I699" s="1" t="s">
        <v>21</v>
      </c>
      <c r="J699" s="1" t="s">
        <v>32</v>
      </c>
      <c r="K699" s="1"/>
      <c r="L699" s="1" t="s">
        <v>252</v>
      </c>
      <c r="M699" s="1"/>
      <c r="N699" s="1" t="s">
        <v>118</v>
      </c>
      <c r="O699" s="31">
        <v>3</v>
      </c>
      <c r="P699" s="31">
        <v>2</v>
      </c>
      <c r="Q699" s="32">
        <v>2004</v>
      </c>
    </row>
    <row r="700" spans="1:17" x14ac:dyDescent="0.25">
      <c r="A700" s="1" t="s">
        <v>267</v>
      </c>
      <c r="B700" s="31">
        <v>38.6</v>
      </c>
      <c r="C700" s="1" t="s">
        <v>20</v>
      </c>
      <c r="D700" s="2">
        <v>42705</v>
      </c>
      <c r="E700" s="2">
        <v>42705</v>
      </c>
      <c r="F700" s="17">
        <v>1254000</v>
      </c>
      <c r="G700" s="17">
        <v>32487.05</v>
      </c>
      <c r="H700" s="1"/>
      <c r="I700" s="1" t="s">
        <v>21</v>
      </c>
      <c r="J700" s="1" t="s">
        <v>32</v>
      </c>
      <c r="K700" s="1"/>
      <c r="L700" s="1" t="s">
        <v>252</v>
      </c>
      <c r="M700" s="1"/>
      <c r="N700" s="1"/>
      <c r="O700" s="31">
        <v>6</v>
      </c>
      <c r="P700" s="31">
        <v>1</v>
      </c>
      <c r="Q700" s="32">
        <v>2016</v>
      </c>
    </row>
    <row r="701" spans="1:17" x14ac:dyDescent="0.25">
      <c r="A701" s="1" t="s">
        <v>267</v>
      </c>
      <c r="B701" s="31">
        <v>58.8</v>
      </c>
      <c r="C701" s="1" t="s">
        <v>20</v>
      </c>
      <c r="D701" s="2">
        <v>42705</v>
      </c>
      <c r="E701" s="2">
        <v>42705</v>
      </c>
      <c r="F701" s="17">
        <v>1910400</v>
      </c>
      <c r="G701" s="17">
        <v>32489.8</v>
      </c>
      <c r="H701" s="1"/>
      <c r="I701" s="1" t="s">
        <v>21</v>
      </c>
      <c r="J701" s="1" t="s">
        <v>32</v>
      </c>
      <c r="K701" s="1"/>
      <c r="L701" s="1" t="s">
        <v>252</v>
      </c>
      <c r="M701" s="1"/>
      <c r="N701" s="1"/>
      <c r="O701" s="31">
        <v>9</v>
      </c>
      <c r="P701" s="31">
        <v>2</v>
      </c>
      <c r="Q701" s="32">
        <v>2016</v>
      </c>
    </row>
    <row r="702" spans="1:17" x14ac:dyDescent="0.25">
      <c r="A702" s="1" t="s">
        <v>267</v>
      </c>
      <c r="B702" s="31">
        <v>58.8</v>
      </c>
      <c r="C702" s="1" t="s">
        <v>20</v>
      </c>
      <c r="D702" s="2">
        <v>42705</v>
      </c>
      <c r="E702" s="2">
        <v>42705</v>
      </c>
      <c r="F702" s="17">
        <v>1910400</v>
      </c>
      <c r="G702" s="17">
        <v>32489.8</v>
      </c>
      <c r="H702" s="1"/>
      <c r="I702" s="1" t="s">
        <v>21</v>
      </c>
      <c r="J702" s="1" t="s">
        <v>32</v>
      </c>
      <c r="K702" s="1"/>
      <c r="L702" s="1" t="s">
        <v>252</v>
      </c>
      <c r="M702" s="1"/>
      <c r="N702" s="1"/>
      <c r="O702" s="31">
        <v>9</v>
      </c>
      <c r="P702" s="31">
        <v>2</v>
      </c>
      <c r="Q702" s="32">
        <v>2016</v>
      </c>
    </row>
    <row r="703" spans="1:17" x14ac:dyDescent="0.25">
      <c r="A703" s="1" t="s">
        <v>259</v>
      </c>
      <c r="B703" s="31">
        <v>38.4</v>
      </c>
      <c r="C703" s="1" t="s">
        <v>20</v>
      </c>
      <c r="D703" s="2">
        <v>42736</v>
      </c>
      <c r="E703" s="2">
        <v>42736</v>
      </c>
      <c r="F703" s="17">
        <v>1250000</v>
      </c>
      <c r="G703" s="17">
        <v>32552.080000000002</v>
      </c>
      <c r="H703" s="1"/>
      <c r="I703" s="1" t="s">
        <v>21</v>
      </c>
      <c r="J703" s="1" t="s">
        <v>32</v>
      </c>
      <c r="K703" s="1"/>
      <c r="L703" s="1" t="s">
        <v>252</v>
      </c>
      <c r="M703" s="1"/>
      <c r="N703" s="1" t="s">
        <v>174</v>
      </c>
      <c r="O703" s="31">
        <v>6</v>
      </c>
      <c r="P703" s="31">
        <v>1</v>
      </c>
      <c r="Q703" s="32">
        <v>2014</v>
      </c>
    </row>
    <row r="704" spans="1:17" x14ac:dyDescent="0.25">
      <c r="A704" s="1" t="s">
        <v>264</v>
      </c>
      <c r="B704" s="31">
        <v>13</v>
      </c>
      <c r="C704" s="1" t="s">
        <v>20</v>
      </c>
      <c r="D704" s="2">
        <v>42644</v>
      </c>
      <c r="E704" s="2">
        <v>42644</v>
      </c>
      <c r="F704" s="17">
        <v>424000</v>
      </c>
      <c r="G704" s="17">
        <v>32615.38</v>
      </c>
      <c r="H704" s="1"/>
      <c r="I704" s="1" t="s">
        <v>21</v>
      </c>
      <c r="J704" s="1" t="s">
        <v>32</v>
      </c>
      <c r="K704" s="1"/>
      <c r="L704" s="1" t="s">
        <v>252</v>
      </c>
      <c r="M704" s="1"/>
      <c r="N704" s="1" t="s">
        <v>265</v>
      </c>
      <c r="O704" s="31">
        <v>2</v>
      </c>
      <c r="P704" s="31">
        <v>1</v>
      </c>
      <c r="Q704" s="32">
        <v>2006</v>
      </c>
    </row>
    <row r="705" spans="1:17" x14ac:dyDescent="0.25">
      <c r="A705" s="1" t="s">
        <v>260</v>
      </c>
      <c r="B705" s="31">
        <v>39.700000000000003</v>
      </c>
      <c r="C705" s="1" t="s">
        <v>20</v>
      </c>
      <c r="D705" s="2">
        <v>42644</v>
      </c>
      <c r="E705" s="2">
        <v>42644</v>
      </c>
      <c r="F705" s="17">
        <v>1300000</v>
      </c>
      <c r="G705" s="17">
        <v>32745.59</v>
      </c>
      <c r="H705" s="1"/>
      <c r="I705" s="1" t="s">
        <v>21</v>
      </c>
      <c r="J705" s="1" t="s">
        <v>22</v>
      </c>
      <c r="K705" s="1"/>
      <c r="L705" s="1" t="s">
        <v>252</v>
      </c>
      <c r="M705" s="1"/>
      <c r="N705" s="1" t="s">
        <v>274</v>
      </c>
      <c r="O705" s="31">
        <v>5</v>
      </c>
      <c r="P705" s="31">
        <v>1</v>
      </c>
      <c r="Q705" s="32">
        <v>2001</v>
      </c>
    </row>
    <row r="706" spans="1:17" x14ac:dyDescent="0.25">
      <c r="A706" s="1" t="s">
        <v>267</v>
      </c>
      <c r="B706" s="31">
        <v>58.2</v>
      </c>
      <c r="C706" s="1" t="s">
        <v>20</v>
      </c>
      <c r="D706" s="2">
        <v>42705</v>
      </c>
      <c r="E706" s="2">
        <v>42705</v>
      </c>
      <c r="F706" s="17">
        <v>1912000</v>
      </c>
      <c r="G706" s="17">
        <v>32852.230000000003</v>
      </c>
      <c r="H706" s="1"/>
      <c r="I706" s="1" t="s">
        <v>21</v>
      </c>
      <c r="J706" s="1" t="s">
        <v>32</v>
      </c>
      <c r="K706" s="1"/>
      <c r="L706" s="1" t="s">
        <v>252</v>
      </c>
      <c r="M706" s="1"/>
      <c r="N706" s="1"/>
      <c r="O706" s="31">
        <v>6</v>
      </c>
      <c r="P706" s="31">
        <v>1</v>
      </c>
      <c r="Q706" s="32">
        <v>2012</v>
      </c>
    </row>
    <row r="707" spans="1:17" x14ac:dyDescent="0.25">
      <c r="A707" s="1" t="s">
        <v>264</v>
      </c>
      <c r="B707" s="31">
        <v>18</v>
      </c>
      <c r="C707" s="1" t="s">
        <v>20</v>
      </c>
      <c r="D707" s="2">
        <v>42644</v>
      </c>
      <c r="E707" s="2">
        <v>42644</v>
      </c>
      <c r="F707" s="17">
        <v>592000</v>
      </c>
      <c r="G707" s="17">
        <v>32888.89</v>
      </c>
      <c r="H707" s="1"/>
      <c r="I707" s="1" t="s">
        <v>21</v>
      </c>
      <c r="J707" s="1" t="s">
        <v>32</v>
      </c>
      <c r="K707" s="1"/>
      <c r="L707" s="1" t="s">
        <v>252</v>
      </c>
      <c r="M707" s="1"/>
      <c r="N707" s="1" t="s">
        <v>265</v>
      </c>
      <c r="O707" s="31">
        <v>3</v>
      </c>
      <c r="P707" s="31">
        <v>1</v>
      </c>
      <c r="Q707" s="32">
        <v>2006</v>
      </c>
    </row>
    <row r="708" spans="1:17" x14ac:dyDescent="0.25">
      <c r="A708" s="1" t="s">
        <v>271</v>
      </c>
      <c r="B708" s="31">
        <v>43.8</v>
      </c>
      <c r="C708" s="1" t="s">
        <v>20</v>
      </c>
      <c r="D708" s="2">
        <v>42614</v>
      </c>
      <c r="E708" s="2">
        <v>42644</v>
      </c>
      <c r="F708" s="17">
        <v>1445000</v>
      </c>
      <c r="G708" s="17">
        <v>32990.870000000003</v>
      </c>
      <c r="H708" s="1"/>
      <c r="I708" s="1" t="s">
        <v>21</v>
      </c>
      <c r="J708" s="1" t="s">
        <v>32</v>
      </c>
      <c r="K708" s="1"/>
      <c r="L708" s="1" t="s">
        <v>252</v>
      </c>
      <c r="M708" s="1"/>
      <c r="N708" s="1"/>
      <c r="O708" s="31">
        <v>8</v>
      </c>
      <c r="P708" s="31">
        <v>2</v>
      </c>
      <c r="Q708" s="32">
        <v>2001</v>
      </c>
    </row>
    <row r="709" spans="1:17" x14ac:dyDescent="0.25">
      <c r="A709" s="1" t="s">
        <v>271</v>
      </c>
      <c r="B709" s="31">
        <v>43.8</v>
      </c>
      <c r="C709" s="1" t="s">
        <v>20</v>
      </c>
      <c r="D709" s="2">
        <v>42614</v>
      </c>
      <c r="E709" s="2">
        <v>42644</v>
      </c>
      <c r="F709" s="17">
        <v>1445000</v>
      </c>
      <c r="G709" s="17">
        <v>32990.870000000003</v>
      </c>
      <c r="H709" s="1"/>
      <c r="I709" s="1" t="s">
        <v>21</v>
      </c>
      <c r="J709" s="1" t="s">
        <v>32</v>
      </c>
      <c r="K709" s="1"/>
      <c r="L709" s="1" t="s">
        <v>252</v>
      </c>
      <c r="M709" s="1"/>
      <c r="N709" s="1"/>
      <c r="O709" s="31">
        <v>8</v>
      </c>
      <c r="P709" s="31">
        <v>2</v>
      </c>
      <c r="Q709" s="32">
        <v>2001</v>
      </c>
    </row>
    <row r="710" spans="1:17" x14ac:dyDescent="0.25">
      <c r="A710" s="1" t="s">
        <v>271</v>
      </c>
      <c r="B710" s="31">
        <v>36.299999999999997</v>
      </c>
      <c r="C710" s="1" t="s">
        <v>20</v>
      </c>
      <c r="D710" s="2">
        <v>42675</v>
      </c>
      <c r="E710" s="2">
        <v>42675</v>
      </c>
      <c r="F710" s="17">
        <v>1199000</v>
      </c>
      <c r="G710" s="17">
        <v>33030.300000000003</v>
      </c>
      <c r="H710" s="1"/>
      <c r="I710" s="1" t="s">
        <v>21</v>
      </c>
      <c r="J710" s="1" t="s">
        <v>32</v>
      </c>
      <c r="K710" s="1"/>
      <c r="L710" s="1" t="s">
        <v>252</v>
      </c>
      <c r="M710" s="1"/>
      <c r="N710" s="1"/>
      <c r="O710" s="31">
        <v>3</v>
      </c>
      <c r="P710" s="31">
        <v>1</v>
      </c>
      <c r="Q710" s="32">
        <v>2005</v>
      </c>
    </row>
    <row r="711" spans="1:17" x14ac:dyDescent="0.25">
      <c r="A711" s="1" t="s">
        <v>267</v>
      </c>
      <c r="B711" s="31">
        <v>36.5</v>
      </c>
      <c r="C711" s="1" t="s">
        <v>20</v>
      </c>
      <c r="D711" s="2">
        <v>42705</v>
      </c>
      <c r="E711" s="2">
        <v>42705</v>
      </c>
      <c r="F711" s="17">
        <v>1209600</v>
      </c>
      <c r="G711" s="17">
        <v>33139.730000000003</v>
      </c>
      <c r="H711" s="1"/>
      <c r="I711" s="1" t="s">
        <v>21</v>
      </c>
      <c r="J711" s="1" t="s">
        <v>22</v>
      </c>
      <c r="K711" s="1"/>
      <c r="L711" s="1" t="s">
        <v>252</v>
      </c>
      <c r="M711" s="1"/>
      <c r="N711" s="1"/>
      <c r="O711" s="31">
        <v>5</v>
      </c>
      <c r="P711" s="31">
        <v>1</v>
      </c>
      <c r="Q711" s="32">
        <v>2016</v>
      </c>
    </row>
    <row r="712" spans="1:17" x14ac:dyDescent="0.25">
      <c r="A712" s="1" t="s">
        <v>261</v>
      </c>
      <c r="B712" s="31">
        <v>49.7</v>
      </c>
      <c r="C712" s="1" t="s">
        <v>20</v>
      </c>
      <c r="D712" s="2">
        <v>42705</v>
      </c>
      <c r="E712" s="2">
        <v>42705</v>
      </c>
      <c r="F712" s="17">
        <v>1650000</v>
      </c>
      <c r="G712" s="17">
        <v>33199.199999999997</v>
      </c>
      <c r="H712" s="1"/>
      <c r="I712" s="1" t="s">
        <v>21</v>
      </c>
      <c r="J712" s="1" t="s">
        <v>32</v>
      </c>
      <c r="K712" s="1"/>
      <c r="L712" s="1" t="s">
        <v>252</v>
      </c>
      <c r="M712" s="1"/>
      <c r="N712" s="1"/>
      <c r="O712" s="31">
        <v>2</v>
      </c>
      <c r="P712" s="31">
        <v>1</v>
      </c>
      <c r="Q712" s="32">
        <v>2016</v>
      </c>
    </row>
    <row r="713" spans="1:17" x14ac:dyDescent="0.25">
      <c r="A713" s="1" t="s">
        <v>264</v>
      </c>
      <c r="B713" s="31">
        <v>28.9</v>
      </c>
      <c r="C713" s="1" t="s">
        <v>20</v>
      </c>
      <c r="D713" s="2">
        <v>42675</v>
      </c>
      <c r="E713" s="2">
        <v>42675</v>
      </c>
      <c r="F713" s="17">
        <v>960000</v>
      </c>
      <c r="G713" s="17">
        <v>33217.99</v>
      </c>
      <c r="H713" s="1"/>
      <c r="I713" s="1" t="s">
        <v>21</v>
      </c>
      <c r="J713" s="1" t="s">
        <v>32</v>
      </c>
      <c r="K713" s="1"/>
      <c r="L713" s="1" t="s">
        <v>252</v>
      </c>
      <c r="M713" s="1"/>
      <c r="N713" s="1" t="s">
        <v>269</v>
      </c>
      <c r="O713" s="31">
        <v>5</v>
      </c>
      <c r="P713" s="31">
        <v>1</v>
      </c>
      <c r="Q713" s="32">
        <v>2000</v>
      </c>
    </row>
    <row r="714" spans="1:17" x14ac:dyDescent="0.25">
      <c r="A714" s="1" t="s">
        <v>256</v>
      </c>
      <c r="B714" s="31">
        <v>35.9</v>
      </c>
      <c r="C714" s="1" t="s">
        <v>20</v>
      </c>
      <c r="D714" s="2">
        <v>42736</v>
      </c>
      <c r="E714" s="2">
        <v>42736</v>
      </c>
      <c r="F714" s="17">
        <v>1200000</v>
      </c>
      <c r="G714" s="17">
        <v>33426.18</v>
      </c>
      <c r="H714" s="1"/>
      <c r="I714" s="1" t="s">
        <v>21</v>
      </c>
      <c r="J714" s="1" t="s">
        <v>32</v>
      </c>
      <c r="K714" s="1"/>
      <c r="L714" s="1" t="s">
        <v>252</v>
      </c>
      <c r="M714" s="1"/>
      <c r="N714" s="1"/>
      <c r="O714" s="31">
        <v>5</v>
      </c>
      <c r="P714" s="31">
        <v>1</v>
      </c>
      <c r="Q714" s="32">
        <v>2010</v>
      </c>
    </row>
    <row r="715" spans="1:17" x14ac:dyDescent="0.25">
      <c r="A715" s="1" t="s">
        <v>261</v>
      </c>
      <c r="B715" s="31">
        <v>31.5</v>
      </c>
      <c r="C715" s="1" t="s">
        <v>20</v>
      </c>
      <c r="D715" s="2">
        <v>42767</v>
      </c>
      <c r="E715" s="2">
        <v>42767</v>
      </c>
      <c r="F715" s="17">
        <v>1056000</v>
      </c>
      <c r="G715" s="17">
        <v>33523.81</v>
      </c>
      <c r="H715" s="1"/>
      <c r="I715" s="1" t="s">
        <v>21</v>
      </c>
      <c r="J715" s="1" t="s">
        <v>32</v>
      </c>
      <c r="K715" s="1"/>
      <c r="L715" s="1" t="s">
        <v>252</v>
      </c>
      <c r="M715" s="1"/>
      <c r="N715" s="1"/>
      <c r="O715" s="31">
        <v>7</v>
      </c>
      <c r="P715" s="31">
        <v>2</v>
      </c>
      <c r="Q715" s="32">
        <v>2017</v>
      </c>
    </row>
    <row r="716" spans="1:17" x14ac:dyDescent="0.25">
      <c r="A716" s="1" t="s">
        <v>267</v>
      </c>
      <c r="B716" s="31">
        <v>41.4</v>
      </c>
      <c r="C716" s="1" t="s">
        <v>20</v>
      </c>
      <c r="D716" s="2">
        <v>42705</v>
      </c>
      <c r="E716" s="2">
        <v>42705</v>
      </c>
      <c r="F716" s="17">
        <v>1388800</v>
      </c>
      <c r="G716" s="17">
        <v>33545.89</v>
      </c>
      <c r="H716" s="1"/>
      <c r="I716" s="1" t="s">
        <v>21</v>
      </c>
      <c r="J716" s="1" t="s">
        <v>32</v>
      </c>
      <c r="K716" s="1"/>
      <c r="L716" s="1" t="s">
        <v>252</v>
      </c>
      <c r="M716" s="1"/>
      <c r="N716" s="1"/>
      <c r="O716" s="31">
        <v>4</v>
      </c>
      <c r="P716" s="31">
        <v>2</v>
      </c>
      <c r="Q716" s="32">
        <v>2016</v>
      </c>
    </row>
    <row r="717" spans="1:17" x14ac:dyDescent="0.25">
      <c r="A717" s="1" t="s">
        <v>267</v>
      </c>
      <c r="B717" s="31">
        <v>41.4</v>
      </c>
      <c r="C717" s="1" t="s">
        <v>20</v>
      </c>
      <c r="D717" s="2">
        <v>42705</v>
      </c>
      <c r="E717" s="2">
        <v>42705</v>
      </c>
      <c r="F717" s="17">
        <v>1388800</v>
      </c>
      <c r="G717" s="17">
        <v>33545.89</v>
      </c>
      <c r="H717" s="1"/>
      <c r="I717" s="1" t="s">
        <v>21</v>
      </c>
      <c r="J717" s="1" t="s">
        <v>32</v>
      </c>
      <c r="K717" s="1"/>
      <c r="L717" s="1" t="s">
        <v>252</v>
      </c>
      <c r="M717" s="1"/>
      <c r="N717" s="1"/>
      <c r="O717" s="31">
        <v>4</v>
      </c>
      <c r="P717" s="31">
        <v>2</v>
      </c>
      <c r="Q717" s="32">
        <v>2016</v>
      </c>
    </row>
    <row r="718" spans="1:17" x14ac:dyDescent="0.25">
      <c r="A718" s="1" t="s">
        <v>262</v>
      </c>
      <c r="B718" s="31">
        <v>29.9</v>
      </c>
      <c r="C718" s="1" t="s">
        <v>20</v>
      </c>
      <c r="D718" s="2">
        <v>42675</v>
      </c>
      <c r="E718" s="2">
        <v>42675</v>
      </c>
      <c r="F718" s="17">
        <v>1004640</v>
      </c>
      <c r="G718" s="17">
        <v>33600</v>
      </c>
      <c r="H718" s="1"/>
      <c r="I718" s="1" t="s">
        <v>21</v>
      </c>
      <c r="J718" s="1" t="s">
        <v>22</v>
      </c>
      <c r="K718" s="1"/>
      <c r="L718" s="1" t="s">
        <v>252</v>
      </c>
      <c r="M718" s="1"/>
      <c r="N718" s="1"/>
      <c r="O718" s="31">
        <v>4</v>
      </c>
      <c r="P718" s="31">
        <v>1</v>
      </c>
      <c r="Q718" s="32">
        <v>2016</v>
      </c>
    </row>
    <row r="719" spans="1:17" x14ac:dyDescent="0.25">
      <c r="A719" s="1" t="s">
        <v>271</v>
      </c>
      <c r="B719" s="31">
        <v>35.700000000000003</v>
      </c>
      <c r="C719" s="1" t="s">
        <v>20</v>
      </c>
      <c r="D719" s="2">
        <v>42705</v>
      </c>
      <c r="E719" s="2">
        <v>42705</v>
      </c>
      <c r="F719" s="17">
        <v>1200000</v>
      </c>
      <c r="G719" s="17">
        <v>33613.449999999997</v>
      </c>
      <c r="H719" s="1"/>
      <c r="I719" s="1" t="s">
        <v>21</v>
      </c>
      <c r="J719" s="1" t="s">
        <v>32</v>
      </c>
      <c r="K719" s="1"/>
      <c r="L719" s="1" t="s">
        <v>252</v>
      </c>
      <c r="M719" s="1"/>
      <c r="N719" s="1" t="s">
        <v>257</v>
      </c>
      <c r="O719" s="31">
        <v>1</v>
      </c>
      <c r="P719" s="31">
        <v>2</v>
      </c>
      <c r="Q719" s="32">
        <v>2005</v>
      </c>
    </row>
    <row r="720" spans="1:17" x14ac:dyDescent="0.25">
      <c r="A720" s="1" t="s">
        <v>271</v>
      </c>
      <c r="B720" s="31">
        <v>35.700000000000003</v>
      </c>
      <c r="C720" s="1" t="s">
        <v>20</v>
      </c>
      <c r="D720" s="2">
        <v>42705</v>
      </c>
      <c r="E720" s="2">
        <v>42705</v>
      </c>
      <c r="F720" s="17">
        <v>1200000</v>
      </c>
      <c r="G720" s="17">
        <v>33613.449999999997</v>
      </c>
      <c r="H720" s="1"/>
      <c r="I720" s="1" t="s">
        <v>21</v>
      </c>
      <c r="J720" s="1" t="s">
        <v>32</v>
      </c>
      <c r="K720" s="1"/>
      <c r="L720" s="1" t="s">
        <v>252</v>
      </c>
      <c r="M720" s="1"/>
      <c r="N720" s="1" t="s">
        <v>257</v>
      </c>
      <c r="O720" s="31">
        <v>1</v>
      </c>
      <c r="P720" s="31">
        <v>2</v>
      </c>
      <c r="Q720" s="32">
        <v>2005</v>
      </c>
    </row>
    <row r="721" spans="1:17" x14ac:dyDescent="0.25">
      <c r="A721" s="1" t="s">
        <v>263</v>
      </c>
      <c r="B721" s="31">
        <v>35.200000000000003</v>
      </c>
      <c r="C721" s="1" t="s">
        <v>20</v>
      </c>
      <c r="D721" s="2">
        <v>42644</v>
      </c>
      <c r="E721" s="2">
        <v>42644</v>
      </c>
      <c r="F721" s="17">
        <v>1190000</v>
      </c>
      <c r="G721" s="17">
        <v>33806.82</v>
      </c>
      <c r="H721" s="1"/>
      <c r="I721" s="1" t="s">
        <v>21</v>
      </c>
      <c r="J721" s="1" t="s">
        <v>32</v>
      </c>
      <c r="K721" s="1"/>
      <c r="L721" s="1" t="s">
        <v>252</v>
      </c>
      <c r="M721" s="1"/>
      <c r="N721" s="1" t="s">
        <v>265</v>
      </c>
      <c r="O721" s="31">
        <v>9</v>
      </c>
      <c r="P721" s="31">
        <v>2</v>
      </c>
      <c r="Q721" s="32">
        <v>1999</v>
      </c>
    </row>
    <row r="722" spans="1:17" x14ac:dyDescent="0.25">
      <c r="A722" s="1" t="s">
        <v>263</v>
      </c>
      <c r="B722" s="31">
        <v>35.200000000000003</v>
      </c>
      <c r="C722" s="1" t="s">
        <v>20</v>
      </c>
      <c r="D722" s="2">
        <v>42644</v>
      </c>
      <c r="E722" s="2">
        <v>42644</v>
      </c>
      <c r="F722" s="17">
        <v>1190000</v>
      </c>
      <c r="G722" s="17">
        <v>33806.82</v>
      </c>
      <c r="H722" s="1"/>
      <c r="I722" s="1" t="s">
        <v>21</v>
      </c>
      <c r="J722" s="1" t="s">
        <v>32</v>
      </c>
      <c r="K722" s="1"/>
      <c r="L722" s="1" t="s">
        <v>252</v>
      </c>
      <c r="M722" s="1"/>
      <c r="N722" s="1" t="s">
        <v>265</v>
      </c>
      <c r="O722" s="31">
        <v>9</v>
      </c>
      <c r="P722" s="31">
        <v>2</v>
      </c>
      <c r="Q722" s="32">
        <v>1999</v>
      </c>
    </row>
    <row r="723" spans="1:17" x14ac:dyDescent="0.25">
      <c r="A723" s="1" t="s">
        <v>267</v>
      </c>
      <c r="B723" s="31">
        <v>36.5</v>
      </c>
      <c r="C723" s="1" t="s">
        <v>20</v>
      </c>
      <c r="D723" s="2">
        <v>42705</v>
      </c>
      <c r="E723" s="2">
        <v>42705</v>
      </c>
      <c r="F723" s="17">
        <v>1239840</v>
      </c>
      <c r="G723" s="17">
        <v>33968.22</v>
      </c>
      <c r="H723" s="1"/>
      <c r="I723" s="1" t="s">
        <v>21</v>
      </c>
      <c r="J723" s="1" t="s">
        <v>32</v>
      </c>
      <c r="K723" s="1"/>
      <c r="L723" s="1" t="s">
        <v>252</v>
      </c>
      <c r="M723" s="1"/>
      <c r="N723" s="1"/>
      <c r="O723" s="31">
        <v>8</v>
      </c>
      <c r="P723" s="31">
        <v>2</v>
      </c>
      <c r="Q723" s="32">
        <v>2016</v>
      </c>
    </row>
    <row r="724" spans="1:17" x14ac:dyDescent="0.25">
      <c r="A724" s="1" t="s">
        <v>267</v>
      </c>
      <c r="B724" s="31">
        <v>36.5</v>
      </c>
      <c r="C724" s="1" t="s">
        <v>20</v>
      </c>
      <c r="D724" s="2">
        <v>42705</v>
      </c>
      <c r="E724" s="2">
        <v>42705</v>
      </c>
      <c r="F724" s="17">
        <v>1239840</v>
      </c>
      <c r="G724" s="17">
        <v>33968.22</v>
      </c>
      <c r="H724" s="1"/>
      <c r="I724" s="1" t="s">
        <v>21</v>
      </c>
      <c r="J724" s="1" t="s">
        <v>32</v>
      </c>
      <c r="K724" s="1"/>
      <c r="L724" s="1" t="s">
        <v>252</v>
      </c>
      <c r="M724" s="1"/>
      <c r="N724" s="1"/>
      <c r="O724" s="31">
        <v>8</v>
      </c>
      <c r="P724" s="31">
        <v>2</v>
      </c>
      <c r="Q724" s="32">
        <v>2016</v>
      </c>
    </row>
    <row r="725" spans="1:17" x14ac:dyDescent="0.25">
      <c r="A725" s="1" t="s">
        <v>272</v>
      </c>
      <c r="B725" s="31">
        <v>30.6</v>
      </c>
      <c r="C725" s="1" t="s">
        <v>20</v>
      </c>
      <c r="D725" s="2">
        <v>42644</v>
      </c>
      <c r="E725" s="2">
        <v>42644</v>
      </c>
      <c r="F725" s="17">
        <v>1040000</v>
      </c>
      <c r="G725" s="17">
        <v>33986.93</v>
      </c>
      <c r="H725" s="1"/>
      <c r="I725" s="1" t="s">
        <v>21</v>
      </c>
      <c r="J725" s="1" t="s">
        <v>32</v>
      </c>
      <c r="K725" s="1"/>
      <c r="L725" s="1" t="s">
        <v>252</v>
      </c>
      <c r="M725" s="1"/>
      <c r="N725" s="1" t="s">
        <v>130</v>
      </c>
      <c r="O725" s="31">
        <v>1</v>
      </c>
      <c r="P725" s="31">
        <v>1</v>
      </c>
      <c r="Q725" s="32">
        <v>2006</v>
      </c>
    </row>
    <row r="726" spans="1:17" x14ac:dyDescent="0.25">
      <c r="A726" s="1" t="s">
        <v>262</v>
      </c>
      <c r="B726" s="31">
        <v>52.7</v>
      </c>
      <c r="C726" s="1" t="s">
        <v>20</v>
      </c>
      <c r="D726" s="2">
        <v>42705</v>
      </c>
      <c r="E726" s="2">
        <v>42705</v>
      </c>
      <c r="F726" s="17">
        <v>1800000</v>
      </c>
      <c r="G726" s="17">
        <v>34155.599999999999</v>
      </c>
      <c r="H726" s="1"/>
      <c r="I726" s="1" t="s">
        <v>21</v>
      </c>
      <c r="J726" s="1" t="s">
        <v>32</v>
      </c>
      <c r="K726" s="1"/>
      <c r="L726" s="1" t="s">
        <v>252</v>
      </c>
      <c r="M726" s="1"/>
      <c r="N726" s="1" t="s">
        <v>258</v>
      </c>
      <c r="O726" s="31">
        <v>8</v>
      </c>
      <c r="P726" s="31">
        <v>2</v>
      </c>
      <c r="Q726" s="32">
        <v>2013</v>
      </c>
    </row>
    <row r="727" spans="1:17" x14ac:dyDescent="0.25">
      <c r="A727" s="1" t="s">
        <v>262</v>
      </c>
      <c r="B727" s="31">
        <v>52.7</v>
      </c>
      <c r="C727" s="1" t="s">
        <v>20</v>
      </c>
      <c r="D727" s="2">
        <v>42705</v>
      </c>
      <c r="E727" s="2">
        <v>42705</v>
      </c>
      <c r="F727" s="17">
        <v>1800000</v>
      </c>
      <c r="G727" s="17">
        <v>34155.599999999999</v>
      </c>
      <c r="H727" s="1"/>
      <c r="I727" s="1" t="s">
        <v>21</v>
      </c>
      <c r="J727" s="1" t="s">
        <v>32</v>
      </c>
      <c r="K727" s="1"/>
      <c r="L727" s="1" t="s">
        <v>252</v>
      </c>
      <c r="M727" s="1"/>
      <c r="N727" s="1" t="s">
        <v>258</v>
      </c>
      <c r="O727" s="31">
        <v>8</v>
      </c>
      <c r="P727" s="31">
        <v>2</v>
      </c>
      <c r="Q727" s="32">
        <v>2013</v>
      </c>
    </row>
    <row r="728" spans="1:17" x14ac:dyDescent="0.25">
      <c r="A728" s="1" t="s">
        <v>276</v>
      </c>
      <c r="B728" s="31">
        <v>38.4</v>
      </c>
      <c r="C728" s="1" t="s">
        <v>20</v>
      </c>
      <c r="D728" s="2">
        <v>42675</v>
      </c>
      <c r="E728" s="2">
        <v>42675</v>
      </c>
      <c r="F728" s="17">
        <v>1315000</v>
      </c>
      <c r="G728" s="17">
        <v>34244.79</v>
      </c>
      <c r="H728" s="1"/>
      <c r="I728" s="1" t="s">
        <v>21</v>
      </c>
      <c r="J728" s="1" t="s">
        <v>32</v>
      </c>
      <c r="K728" s="1"/>
      <c r="L728" s="1" t="s">
        <v>252</v>
      </c>
      <c r="M728" s="1"/>
      <c r="N728" s="1" t="s">
        <v>258</v>
      </c>
      <c r="O728" s="31">
        <v>1</v>
      </c>
      <c r="P728" s="31">
        <v>1</v>
      </c>
      <c r="Q728" s="32">
        <v>2011</v>
      </c>
    </row>
    <row r="729" spans="1:17" x14ac:dyDescent="0.25">
      <c r="A729" s="1" t="s">
        <v>261</v>
      </c>
      <c r="B729" s="31">
        <v>41.8</v>
      </c>
      <c r="C729" s="1" t="s">
        <v>20</v>
      </c>
      <c r="D729" s="2">
        <v>42767</v>
      </c>
      <c r="E729" s="2">
        <v>42767</v>
      </c>
      <c r="F729" s="17">
        <v>1432000</v>
      </c>
      <c r="G729" s="17">
        <v>34258.370000000003</v>
      </c>
      <c r="H729" s="1"/>
      <c r="I729" s="1" t="s">
        <v>21</v>
      </c>
      <c r="J729" s="1" t="s">
        <v>32</v>
      </c>
      <c r="K729" s="1"/>
      <c r="L729" s="1" t="s">
        <v>252</v>
      </c>
      <c r="M729" s="1"/>
      <c r="N729" s="1"/>
      <c r="O729" s="31">
        <v>8</v>
      </c>
      <c r="P729" s="31">
        <v>1</v>
      </c>
      <c r="Q729" s="32">
        <v>2016</v>
      </c>
    </row>
    <row r="730" spans="1:17" x14ac:dyDescent="0.25">
      <c r="A730" s="1" t="s">
        <v>264</v>
      </c>
      <c r="B730" s="31">
        <v>42.9</v>
      </c>
      <c r="C730" s="1" t="s">
        <v>20</v>
      </c>
      <c r="D730" s="2">
        <v>42644</v>
      </c>
      <c r="E730" s="2">
        <v>42644</v>
      </c>
      <c r="F730" s="17">
        <v>1470000</v>
      </c>
      <c r="G730" s="17">
        <v>34265.730000000003</v>
      </c>
      <c r="H730" s="1"/>
      <c r="I730" s="1" t="s">
        <v>21</v>
      </c>
      <c r="J730" s="1" t="s">
        <v>32</v>
      </c>
      <c r="K730" s="1"/>
      <c r="L730" s="1" t="s">
        <v>252</v>
      </c>
      <c r="M730" s="1"/>
      <c r="N730" s="1" t="s">
        <v>258</v>
      </c>
      <c r="O730" s="31">
        <v>3</v>
      </c>
      <c r="P730" s="31">
        <v>2</v>
      </c>
      <c r="Q730" s="32">
        <v>2013</v>
      </c>
    </row>
    <row r="731" spans="1:17" x14ac:dyDescent="0.25">
      <c r="A731" s="1" t="s">
        <v>264</v>
      </c>
      <c r="B731" s="31">
        <v>42.9</v>
      </c>
      <c r="C731" s="1" t="s">
        <v>20</v>
      </c>
      <c r="D731" s="2">
        <v>42644</v>
      </c>
      <c r="E731" s="2">
        <v>42644</v>
      </c>
      <c r="F731" s="17">
        <v>1470000</v>
      </c>
      <c r="G731" s="17">
        <v>34265.730000000003</v>
      </c>
      <c r="H731" s="1"/>
      <c r="I731" s="1" t="s">
        <v>21</v>
      </c>
      <c r="J731" s="1" t="s">
        <v>32</v>
      </c>
      <c r="K731" s="1"/>
      <c r="L731" s="1" t="s">
        <v>252</v>
      </c>
      <c r="M731" s="1"/>
      <c r="N731" s="1" t="s">
        <v>258</v>
      </c>
      <c r="O731" s="31">
        <v>3</v>
      </c>
      <c r="P731" s="31">
        <v>2</v>
      </c>
      <c r="Q731" s="32">
        <v>2013</v>
      </c>
    </row>
    <row r="732" spans="1:17" x14ac:dyDescent="0.25">
      <c r="A732" s="1" t="s">
        <v>259</v>
      </c>
      <c r="B732" s="31">
        <v>49.6</v>
      </c>
      <c r="C732" s="1" t="s">
        <v>20</v>
      </c>
      <c r="D732" s="2">
        <v>42614</v>
      </c>
      <c r="E732" s="2">
        <v>42644</v>
      </c>
      <c r="F732" s="17">
        <v>1700000</v>
      </c>
      <c r="G732" s="17">
        <v>34274.19</v>
      </c>
      <c r="H732" s="1"/>
      <c r="I732" s="1" t="s">
        <v>21</v>
      </c>
      <c r="J732" s="1" t="s">
        <v>32</v>
      </c>
      <c r="K732" s="1"/>
      <c r="L732" s="1" t="s">
        <v>252</v>
      </c>
      <c r="M732" s="1"/>
      <c r="N732" s="1"/>
      <c r="O732" s="31">
        <v>3</v>
      </c>
      <c r="P732" s="31">
        <v>1</v>
      </c>
      <c r="Q732" s="32">
        <v>2013</v>
      </c>
    </row>
    <row r="733" spans="1:17" x14ac:dyDescent="0.25">
      <c r="A733" s="1" t="s">
        <v>256</v>
      </c>
      <c r="B733" s="31">
        <v>35</v>
      </c>
      <c r="C733" s="1" t="s">
        <v>20</v>
      </c>
      <c r="D733" s="2">
        <v>42736</v>
      </c>
      <c r="E733" s="2">
        <v>42736</v>
      </c>
      <c r="F733" s="17">
        <v>1200000</v>
      </c>
      <c r="G733" s="17">
        <v>34285.71</v>
      </c>
      <c r="H733" s="1"/>
      <c r="I733" s="1" t="s">
        <v>21</v>
      </c>
      <c r="J733" s="1" t="s">
        <v>32</v>
      </c>
      <c r="K733" s="1"/>
      <c r="L733" s="1" t="s">
        <v>252</v>
      </c>
      <c r="M733" s="1"/>
      <c r="N733" s="1" t="s">
        <v>254</v>
      </c>
      <c r="O733" s="31">
        <v>2</v>
      </c>
      <c r="P733" s="31">
        <v>2</v>
      </c>
      <c r="Q733" s="32">
        <v>2010</v>
      </c>
    </row>
    <row r="734" spans="1:17" x14ac:dyDescent="0.25">
      <c r="A734" s="1" t="s">
        <v>256</v>
      </c>
      <c r="B734" s="31">
        <v>35</v>
      </c>
      <c r="C734" s="1" t="s">
        <v>20</v>
      </c>
      <c r="D734" s="2">
        <v>42736</v>
      </c>
      <c r="E734" s="2">
        <v>42736</v>
      </c>
      <c r="F734" s="17">
        <v>1200000</v>
      </c>
      <c r="G734" s="17">
        <v>34285.71</v>
      </c>
      <c r="H734" s="1"/>
      <c r="I734" s="1" t="s">
        <v>21</v>
      </c>
      <c r="J734" s="1" t="s">
        <v>32</v>
      </c>
      <c r="K734" s="1"/>
      <c r="L734" s="1" t="s">
        <v>252</v>
      </c>
      <c r="M734" s="1"/>
      <c r="N734" s="1" t="s">
        <v>254</v>
      </c>
      <c r="O734" s="31">
        <v>2</v>
      </c>
      <c r="P734" s="31">
        <v>2</v>
      </c>
      <c r="Q734" s="32">
        <v>2010</v>
      </c>
    </row>
    <row r="735" spans="1:17" x14ac:dyDescent="0.25">
      <c r="A735" s="1" t="s">
        <v>259</v>
      </c>
      <c r="B735" s="31">
        <v>51.7</v>
      </c>
      <c r="C735" s="1" t="s">
        <v>20</v>
      </c>
      <c r="D735" s="2">
        <v>42675</v>
      </c>
      <c r="E735" s="2">
        <v>42675</v>
      </c>
      <c r="F735" s="17">
        <v>1776000</v>
      </c>
      <c r="G735" s="17">
        <v>34352.03</v>
      </c>
      <c r="H735" s="1"/>
      <c r="I735" s="1" t="s">
        <v>21</v>
      </c>
      <c r="J735" s="1" t="s">
        <v>32</v>
      </c>
      <c r="K735" s="1"/>
      <c r="L735" s="1" t="s">
        <v>252</v>
      </c>
      <c r="M735" s="1"/>
      <c r="N735" s="1"/>
      <c r="O735" s="31">
        <v>7</v>
      </c>
      <c r="P735" s="31">
        <v>2</v>
      </c>
      <c r="Q735" s="32">
        <v>2013</v>
      </c>
    </row>
    <row r="736" spans="1:17" x14ac:dyDescent="0.25">
      <c r="A736" s="1" t="s">
        <v>259</v>
      </c>
      <c r="B736" s="31">
        <v>51.7</v>
      </c>
      <c r="C736" s="1" t="s">
        <v>20</v>
      </c>
      <c r="D736" s="2">
        <v>42675</v>
      </c>
      <c r="E736" s="2">
        <v>42675</v>
      </c>
      <c r="F736" s="17">
        <v>1776000</v>
      </c>
      <c r="G736" s="17">
        <v>34352.03</v>
      </c>
      <c r="H736" s="1"/>
      <c r="I736" s="1" t="s">
        <v>21</v>
      </c>
      <c r="J736" s="1" t="s">
        <v>32</v>
      </c>
      <c r="K736" s="1"/>
      <c r="L736" s="1" t="s">
        <v>252</v>
      </c>
      <c r="M736" s="1"/>
      <c r="N736" s="1"/>
      <c r="O736" s="31">
        <v>7</v>
      </c>
      <c r="P736" s="31">
        <v>2</v>
      </c>
      <c r="Q736" s="32">
        <v>2013</v>
      </c>
    </row>
    <row r="737" spans="1:17" x14ac:dyDescent="0.25">
      <c r="A737" s="1" t="s">
        <v>267</v>
      </c>
      <c r="B737" s="31">
        <v>38.200000000000003</v>
      </c>
      <c r="C737" s="1" t="s">
        <v>20</v>
      </c>
      <c r="D737" s="2">
        <v>42736</v>
      </c>
      <c r="E737" s="2">
        <v>42767</v>
      </c>
      <c r="F737" s="17">
        <v>1324000</v>
      </c>
      <c r="G737" s="17">
        <v>34659.69</v>
      </c>
      <c r="H737" s="1"/>
      <c r="I737" s="1" t="s">
        <v>21</v>
      </c>
      <c r="J737" s="1" t="s">
        <v>22</v>
      </c>
      <c r="K737" s="1"/>
      <c r="L737" s="1" t="s">
        <v>252</v>
      </c>
      <c r="M737" s="1"/>
      <c r="N737" s="1"/>
      <c r="O737" s="31">
        <v>7</v>
      </c>
      <c r="P737" s="31">
        <v>2</v>
      </c>
      <c r="Q737" s="32">
        <v>2016</v>
      </c>
    </row>
    <row r="738" spans="1:17" x14ac:dyDescent="0.25">
      <c r="A738" s="1" t="s">
        <v>267</v>
      </c>
      <c r="B738" s="31">
        <v>38.200000000000003</v>
      </c>
      <c r="C738" s="1" t="s">
        <v>20</v>
      </c>
      <c r="D738" s="2">
        <v>42736</v>
      </c>
      <c r="E738" s="2">
        <v>42767</v>
      </c>
      <c r="F738" s="17">
        <v>1324000</v>
      </c>
      <c r="G738" s="17">
        <v>34659.69</v>
      </c>
      <c r="H738" s="1"/>
      <c r="I738" s="1" t="s">
        <v>21</v>
      </c>
      <c r="J738" s="1" t="s">
        <v>22</v>
      </c>
      <c r="K738" s="1"/>
      <c r="L738" s="1" t="s">
        <v>252</v>
      </c>
      <c r="M738" s="1"/>
      <c r="N738" s="1"/>
      <c r="O738" s="31">
        <v>7</v>
      </c>
      <c r="P738" s="31">
        <v>2</v>
      </c>
      <c r="Q738" s="32">
        <v>2016</v>
      </c>
    </row>
    <row r="739" spans="1:17" x14ac:dyDescent="0.25">
      <c r="A739" s="1" t="s">
        <v>262</v>
      </c>
      <c r="B739" s="31">
        <v>35.1</v>
      </c>
      <c r="C739" s="1" t="s">
        <v>20</v>
      </c>
      <c r="D739" s="2">
        <v>42705</v>
      </c>
      <c r="E739" s="2">
        <v>42705</v>
      </c>
      <c r="F739" s="17">
        <v>1220000</v>
      </c>
      <c r="G739" s="17">
        <v>34757.83</v>
      </c>
      <c r="H739" s="1"/>
      <c r="I739" s="1" t="s">
        <v>21</v>
      </c>
      <c r="J739" s="1" t="s">
        <v>32</v>
      </c>
      <c r="K739" s="1"/>
      <c r="L739" s="1" t="s">
        <v>252</v>
      </c>
      <c r="M739" s="1"/>
      <c r="N739" s="1" t="s">
        <v>269</v>
      </c>
      <c r="O739" s="31">
        <v>2</v>
      </c>
      <c r="P739" s="31">
        <v>2</v>
      </c>
      <c r="Q739" s="32">
        <v>2004</v>
      </c>
    </row>
    <row r="740" spans="1:17" x14ac:dyDescent="0.25">
      <c r="A740" s="1" t="s">
        <v>262</v>
      </c>
      <c r="B740" s="31">
        <v>35.1</v>
      </c>
      <c r="C740" s="1" t="s">
        <v>20</v>
      </c>
      <c r="D740" s="2">
        <v>42705</v>
      </c>
      <c r="E740" s="2">
        <v>42705</v>
      </c>
      <c r="F740" s="17">
        <v>1220000</v>
      </c>
      <c r="G740" s="17">
        <v>34757.83</v>
      </c>
      <c r="H740" s="1"/>
      <c r="I740" s="1" t="s">
        <v>21</v>
      </c>
      <c r="J740" s="1" t="s">
        <v>32</v>
      </c>
      <c r="K740" s="1"/>
      <c r="L740" s="1" t="s">
        <v>252</v>
      </c>
      <c r="M740" s="1"/>
      <c r="N740" s="1" t="s">
        <v>269</v>
      </c>
      <c r="O740" s="31">
        <v>2</v>
      </c>
      <c r="P740" s="31">
        <v>2</v>
      </c>
      <c r="Q740" s="32">
        <v>2004</v>
      </c>
    </row>
    <row r="741" spans="1:17" x14ac:dyDescent="0.25">
      <c r="A741" s="1" t="s">
        <v>256</v>
      </c>
      <c r="B741" s="31">
        <v>48.8</v>
      </c>
      <c r="C741" s="1" t="s">
        <v>20</v>
      </c>
      <c r="D741" s="2">
        <v>42675</v>
      </c>
      <c r="E741" s="2">
        <v>42675</v>
      </c>
      <c r="F741" s="17">
        <v>1700000</v>
      </c>
      <c r="G741" s="17">
        <v>34836.07</v>
      </c>
      <c r="H741" s="1"/>
      <c r="I741" s="1" t="s">
        <v>21</v>
      </c>
      <c r="J741" s="1" t="s">
        <v>32</v>
      </c>
      <c r="K741" s="1"/>
      <c r="L741" s="1" t="s">
        <v>252</v>
      </c>
      <c r="M741" s="1"/>
      <c r="N741" s="1" t="s">
        <v>257</v>
      </c>
      <c r="O741" s="31">
        <v>5</v>
      </c>
      <c r="P741" s="31">
        <v>2</v>
      </c>
      <c r="Q741" s="32">
        <v>2006</v>
      </c>
    </row>
    <row r="742" spans="1:17" x14ac:dyDescent="0.25">
      <c r="A742" s="1" t="s">
        <v>256</v>
      </c>
      <c r="B742" s="31">
        <v>48.8</v>
      </c>
      <c r="C742" s="1" t="s">
        <v>20</v>
      </c>
      <c r="D742" s="2">
        <v>42675</v>
      </c>
      <c r="E742" s="2">
        <v>42675</v>
      </c>
      <c r="F742" s="17">
        <v>1700000</v>
      </c>
      <c r="G742" s="17">
        <v>34836.07</v>
      </c>
      <c r="H742" s="1"/>
      <c r="I742" s="1" t="s">
        <v>21</v>
      </c>
      <c r="J742" s="1" t="s">
        <v>32</v>
      </c>
      <c r="K742" s="1"/>
      <c r="L742" s="1" t="s">
        <v>252</v>
      </c>
      <c r="M742" s="1"/>
      <c r="N742" s="1" t="s">
        <v>257</v>
      </c>
      <c r="O742" s="31">
        <v>5</v>
      </c>
      <c r="P742" s="31">
        <v>2</v>
      </c>
      <c r="Q742" s="32">
        <v>2006</v>
      </c>
    </row>
    <row r="743" spans="1:17" x14ac:dyDescent="0.25">
      <c r="A743" s="1" t="s">
        <v>276</v>
      </c>
      <c r="B743" s="31">
        <v>37.200000000000003</v>
      </c>
      <c r="C743" s="1" t="s">
        <v>20</v>
      </c>
      <c r="D743" s="2">
        <v>42767</v>
      </c>
      <c r="E743" s="2">
        <v>42795</v>
      </c>
      <c r="F743" s="17">
        <v>1300000</v>
      </c>
      <c r="G743" s="17">
        <v>34946.239999999998</v>
      </c>
      <c r="H743" s="1"/>
      <c r="I743" s="1" t="s">
        <v>21</v>
      </c>
      <c r="J743" s="1" t="s">
        <v>22</v>
      </c>
      <c r="K743" s="1"/>
      <c r="L743" s="1" t="s">
        <v>252</v>
      </c>
      <c r="M743" s="1"/>
      <c r="N743" s="1" t="s">
        <v>258</v>
      </c>
      <c r="O743" s="31">
        <v>7</v>
      </c>
      <c r="P743" s="31">
        <v>1</v>
      </c>
      <c r="Q743" s="32">
        <v>2015</v>
      </c>
    </row>
    <row r="744" spans="1:17" x14ac:dyDescent="0.25">
      <c r="A744" s="1" t="s">
        <v>272</v>
      </c>
      <c r="B744" s="31">
        <v>42.9</v>
      </c>
      <c r="C744" s="1" t="s">
        <v>20</v>
      </c>
      <c r="D744" s="2">
        <v>42644</v>
      </c>
      <c r="E744" s="2">
        <v>42644</v>
      </c>
      <c r="F744" s="17">
        <v>1500000</v>
      </c>
      <c r="G744" s="17">
        <v>34965.040000000001</v>
      </c>
      <c r="H744" s="1"/>
      <c r="I744" s="1" t="s">
        <v>21</v>
      </c>
      <c r="J744" s="1" t="s">
        <v>32</v>
      </c>
      <c r="K744" s="1"/>
      <c r="L744" s="1" t="s">
        <v>252</v>
      </c>
      <c r="M744" s="1"/>
      <c r="N744" s="1" t="s">
        <v>130</v>
      </c>
      <c r="O744" s="31">
        <v>2</v>
      </c>
      <c r="P744" s="31">
        <v>1</v>
      </c>
      <c r="Q744" s="32">
        <v>2007</v>
      </c>
    </row>
    <row r="745" spans="1:17" x14ac:dyDescent="0.25">
      <c r="A745" s="1" t="s">
        <v>253</v>
      </c>
      <c r="B745" s="31">
        <v>41</v>
      </c>
      <c r="C745" s="1" t="s">
        <v>20</v>
      </c>
      <c r="D745" s="2">
        <v>42644</v>
      </c>
      <c r="E745" s="2">
        <v>42644</v>
      </c>
      <c r="F745" s="17">
        <v>1438400</v>
      </c>
      <c r="G745" s="17">
        <v>35082.93</v>
      </c>
      <c r="H745" s="1"/>
      <c r="I745" s="1" t="s">
        <v>21</v>
      </c>
      <c r="J745" s="1" t="s">
        <v>32</v>
      </c>
      <c r="K745" s="1"/>
      <c r="L745" s="1" t="s">
        <v>252</v>
      </c>
      <c r="M745" s="1"/>
      <c r="N745" s="1"/>
      <c r="O745" s="31">
        <v>8</v>
      </c>
      <c r="P745" s="31">
        <v>2</v>
      </c>
      <c r="Q745" s="32">
        <v>2015</v>
      </c>
    </row>
    <row r="746" spans="1:17" x14ac:dyDescent="0.25">
      <c r="A746" s="1" t="s">
        <v>253</v>
      </c>
      <c r="B746" s="31">
        <v>41</v>
      </c>
      <c r="C746" s="1" t="s">
        <v>20</v>
      </c>
      <c r="D746" s="2">
        <v>42644</v>
      </c>
      <c r="E746" s="2">
        <v>42644</v>
      </c>
      <c r="F746" s="17">
        <v>1438400</v>
      </c>
      <c r="G746" s="17">
        <v>35082.93</v>
      </c>
      <c r="H746" s="1"/>
      <c r="I746" s="1" t="s">
        <v>21</v>
      </c>
      <c r="J746" s="1" t="s">
        <v>32</v>
      </c>
      <c r="K746" s="1"/>
      <c r="L746" s="1" t="s">
        <v>252</v>
      </c>
      <c r="M746" s="1"/>
      <c r="N746" s="1"/>
      <c r="O746" s="31">
        <v>8</v>
      </c>
      <c r="P746" s="31">
        <v>2</v>
      </c>
      <c r="Q746" s="32">
        <v>2015</v>
      </c>
    </row>
    <row r="747" spans="1:17" x14ac:dyDescent="0.25">
      <c r="A747" s="1" t="s">
        <v>262</v>
      </c>
      <c r="B747" s="31">
        <v>30.7</v>
      </c>
      <c r="C747" s="1" t="s">
        <v>20</v>
      </c>
      <c r="D747" s="2">
        <v>42705</v>
      </c>
      <c r="E747" s="2">
        <v>42705</v>
      </c>
      <c r="F747" s="17">
        <v>1080000</v>
      </c>
      <c r="G747" s="17">
        <v>35179.15</v>
      </c>
      <c r="H747" s="1"/>
      <c r="I747" s="1" t="s">
        <v>21</v>
      </c>
      <c r="J747" s="1" t="s">
        <v>32</v>
      </c>
      <c r="K747" s="1"/>
      <c r="L747" s="1" t="s">
        <v>252</v>
      </c>
      <c r="M747" s="1"/>
      <c r="N747" s="1" t="s">
        <v>258</v>
      </c>
      <c r="O747" s="31">
        <v>7</v>
      </c>
      <c r="P747" s="31">
        <v>1</v>
      </c>
      <c r="Q747" s="32">
        <v>2013</v>
      </c>
    </row>
    <row r="748" spans="1:17" x14ac:dyDescent="0.25">
      <c r="A748" s="1" t="s">
        <v>270</v>
      </c>
      <c r="B748" s="31">
        <v>66.3</v>
      </c>
      <c r="C748" s="1" t="s">
        <v>20</v>
      </c>
      <c r="D748" s="2">
        <v>42675</v>
      </c>
      <c r="E748" s="2">
        <v>42675</v>
      </c>
      <c r="F748" s="17">
        <v>2333026</v>
      </c>
      <c r="G748" s="17">
        <v>35188.93</v>
      </c>
      <c r="H748" s="1"/>
      <c r="I748" s="1" t="s">
        <v>21</v>
      </c>
      <c r="J748" s="1" t="s">
        <v>22</v>
      </c>
      <c r="K748" s="1"/>
      <c r="L748" s="1" t="s">
        <v>252</v>
      </c>
      <c r="M748" s="1"/>
      <c r="N748" s="1" t="s">
        <v>130</v>
      </c>
      <c r="O748" s="31">
        <v>1</v>
      </c>
      <c r="P748" s="31">
        <v>2</v>
      </c>
      <c r="Q748" s="32">
        <v>2016</v>
      </c>
    </row>
    <row r="749" spans="1:17" x14ac:dyDescent="0.25">
      <c r="A749" s="1" t="s">
        <v>270</v>
      </c>
      <c r="B749" s="31">
        <v>66.3</v>
      </c>
      <c r="C749" s="1" t="s">
        <v>20</v>
      </c>
      <c r="D749" s="2">
        <v>42675</v>
      </c>
      <c r="E749" s="2">
        <v>42675</v>
      </c>
      <c r="F749" s="17">
        <v>2333026</v>
      </c>
      <c r="G749" s="17">
        <v>35188.93</v>
      </c>
      <c r="H749" s="1"/>
      <c r="I749" s="1" t="s">
        <v>21</v>
      </c>
      <c r="J749" s="1" t="s">
        <v>22</v>
      </c>
      <c r="K749" s="1"/>
      <c r="L749" s="1" t="s">
        <v>252</v>
      </c>
      <c r="M749" s="1"/>
      <c r="N749" s="1" t="s">
        <v>130</v>
      </c>
      <c r="O749" s="31">
        <v>1</v>
      </c>
      <c r="P749" s="31">
        <v>2</v>
      </c>
      <c r="Q749" s="32">
        <v>2016</v>
      </c>
    </row>
    <row r="750" spans="1:17" x14ac:dyDescent="0.25">
      <c r="A750" s="1" t="s">
        <v>253</v>
      </c>
      <c r="B750" s="31">
        <v>42</v>
      </c>
      <c r="C750" s="1" t="s">
        <v>20</v>
      </c>
      <c r="D750" s="2">
        <v>42767</v>
      </c>
      <c r="E750" s="2">
        <v>42767</v>
      </c>
      <c r="F750" s="17">
        <v>1479000</v>
      </c>
      <c r="G750" s="17">
        <v>35214.29</v>
      </c>
      <c r="H750" s="1"/>
      <c r="I750" s="1" t="s">
        <v>21</v>
      </c>
      <c r="J750" s="1" t="s">
        <v>32</v>
      </c>
      <c r="K750" s="1"/>
      <c r="L750" s="1" t="s">
        <v>252</v>
      </c>
      <c r="M750" s="1"/>
      <c r="N750" s="1"/>
      <c r="O750" s="31">
        <v>7</v>
      </c>
      <c r="P750" s="31">
        <v>2</v>
      </c>
      <c r="Q750" s="32">
        <v>2015</v>
      </c>
    </row>
    <row r="751" spans="1:17" x14ac:dyDescent="0.25">
      <c r="A751" s="1" t="s">
        <v>272</v>
      </c>
      <c r="B751" s="31">
        <v>66.5</v>
      </c>
      <c r="C751" s="1" t="s">
        <v>20</v>
      </c>
      <c r="D751" s="2">
        <v>42614</v>
      </c>
      <c r="E751" s="2">
        <v>42675</v>
      </c>
      <c r="F751" s="17">
        <v>2342116.7000000002</v>
      </c>
      <c r="G751" s="17">
        <v>35219.800000000003</v>
      </c>
      <c r="H751" s="1"/>
      <c r="I751" s="1" t="s">
        <v>21</v>
      </c>
      <c r="J751" s="1" t="s">
        <v>280</v>
      </c>
      <c r="K751" s="1"/>
      <c r="L751" s="1" t="s">
        <v>252</v>
      </c>
      <c r="M751" s="1"/>
      <c r="N751" s="1" t="s">
        <v>269</v>
      </c>
      <c r="O751" s="31">
        <v>1</v>
      </c>
      <c r="P751" s="31">
        <v>1</v>
      </c>
      <c r="Q751" s="32">
        <v>2008</v>
      </c>
    </row>
    <row r="752" spans="1:17" x14ac:dyDescent="0.25">
      <c r="A752" s="1" t="s">
        <v>253</v>
      </c>
      <c r="B752" s="31">
        <v>42.5</v>
      </c>
      <c r="C752" s="1" t="s">
        <v>20</v>
      </c>
      <c r="D752" s="2">
        <v>42767</v>
      </c>
      <c r="E752" s="2">
        <v>42767</v>
      </c>
      <c r="F752" s="17">
        <v>1503000</v>
      </c>
      <c r="G752" s="17">
        <v>35364.71</v>
      </c>
      <c r="H752" s="1"/>
      <c r="I752" s="1" t="s">
        <v>21</v>
      </c>
      <c r="J752" s="1" t="s">
        <v>32</v>
      </c>
      <c r="K752" s="1"/>
      <c r="L752" s="1" t="s">
        <v>252</v>
      </c>
      <c r="M752" s="1"/>
      <c r="N752" s="1" t="s">
        <v>258</v>
      </c>
      <c r="O752" s="31">
        <v>3</v>
      </c>
      <c r="P752" s="31">
        <v>2</v>
      </c>
      <c r="Q752" s="32">
        <v>2006</v>
      </c>
    </row>
    <row r="753" spans="1:17" x14ac:dyDescent="0.25">
      <c r="A753" s="1" t="s">
        <v>262</v>
      </c>
      <c r="B753" s="31">
        <v>55.9</v>
      </c>
      <c r="C753" s="1" t="s">
        <v>20</v>
      </c>
      <c r="D753" s="2">
        <v>42614</v>
      </c>
      <c r="E753" s="2">
        <v>42644</v>
      </c>
      <c r="F753" s="17">
        <v>2000000</v>
      </c>
      <c r="G753" s="17">
        <v>35778.18</v>
      </c>
      <c r="H753" s="1"/>
      <c r="I753" s="1" t="s">
        <v>21</v>
      </c>
      <c r="J753" s="1" t="s">
        <v>32</v>
      </c>
      <c r="K753" s="1"/>
      <c r="L753" s="1" t="s">
        <v>252</v>
      </c>
      <c r="M753" s="1"/>
      <c r="N753" s="1" t="s">
        <v>258</v>
      </c>
      <c r="O753" s="31">
        <v>5</v>
      </c>
      <c r="P753" s="31">
        <v>1</v>
      </c>
      <c r="Q753" s="32">
        <v>2011</v>
      </c>
    </row>
    <row r="754" spans="1:17" x14ac:dyDescent="0.25">
      <c r="A754" s="1" t="s">
        <v>276</v>
      </c>
      <c r="B754" s="31">
        <v>38</v>
      </c>
      <c r="C754" s="1" t="s">
        <v>20</v>
      </c>
      <c r="D754" s="2">
        <v>42644</v>
      </c>
      <c r="E754" s="2">
        <v>42675</v>
      </c>
      <c r="F754" s="17">
        <v>1360000</v>
      </c>
      <c r="G754" s="17">
        <v>35789.47</v>
      </c>
      <c r="H754" s="1"/>
      <c r="I754" s="1" t="s">
        <v>21</v>
      </c>
      <c r="J754" s="1" t="s">
        <v>22</v>
      </c>
      <c r="K754" s="1"/>
      <c r="L754" s="1" t="s">
        <v>252</v>
      </c>
      <c r="M754" s="1"/>
      <c r="N754" s="1"/>
      <c r="O754" s="31">
        <v>6</v>
      </c>
      <c r="P754" s="31">
        <v>2</v>
      </c>
      <c r="Q754" s="32">
        <v>2016</v>
      </c>
    </row>
    <row r="755" spans="1:17" x14ac:dyDescent="0.25">
      <c r="A755" s="1" t="s">
        <v>276</v>
      </c>
      <c r="B755" s="31">
        <v>38</v>
      </c>
      <c r="C755" s="1" t="s">
        <v>20</v>
      </c>
      <c r="D755" s="2">
        <v>42644</v>
      </c>
      <c r="E755" s="2">
        <v>42675</v>
      </c>
      <c r="F755" s="17">
        <v>1360000</v>
      </c>
      <c r="G755" s="17">
        <v>35789.47</v>
      </c>
      <c r="H755" s="1"/>
      <c r="I755" s="1" t="s">
        <v>21</v>
      </c>
      <c r="J755" s="1" t="s">
        <v>22</v>
      </c>
      <c r="K755" s="1"/>
      <c r="L755" s="1" t="s">
        <v>252</v>
      </c>
      <c r="M755" s="1"/>
      <c r="N755" s="1"/>
      <c r="O755" s="31">
        <v>6</v>
      </c>
      <c r="P755" s="31">
        <v>2</v>
      </c>
      <c r="Q755" s="32">
        <v>2016</v>
      </c>
    </row>
    <row r="756" spans="1:17" x14ac:dyDescent="0.25">
      <c r="A756" s="1" t="s">
        <v>266</v>
      </c>
      <c r="B756" s="31">
        <v>34.299999999999997</v>
      </c>
      <c r="C756" s="1" t="s">
        <v>20</v>
      </c>
      <c r="D756" s="2">
        <v>42705</v>
      </c>
      <c r="E756" s="2">
        <v>42705</v>
      </c>
      <c r="F756" s="17">
        <v>1230000</v>
      </c>
      <c r="G756" s="17">
        <v>35860.06</v>
      </c>
      <c r="H756" s="1"/>
      <c r="I756" s="1" t="s">
        <v>21</v>
      </c>
      <c r="J756" s="1" t="s">
        <v>32</v>
      </c>
      <c r="K756" s="1"/>
      <c r="L756" s="1" t="s">
        <v>252</v>
      </c>
      <c r="M756" s="1"/>
      <c r="N756" s="1" t="s">
        <v>130</v>
      </c>
      <c r="O756" s="31">
        <v>4</v>
      </c>
      <c r="P756" s="31">
        <v>2</v>
      </c>
      <c r="Q756" s="32">
        <v>2001</v>
      </c>
    </row>
    <row r="757" spans="1:17" x14ac:dyDescent="0.25">
      <c r="A757" s="1" t="s">
        <v>266</v>
      </c>
      <c r="B757" s="31">
        <v>34.299999999999997</v>
      </c>
      <c r="C757" s="1" t="s">
        <v>20</v>
      </c>
      <c r="D757" s="2">
        <v>42705</v>
      </c>
      <c r="E757" s="2">
        <v>42705</v>
      </c>
      <c r="F757" s="17">
        <v>1230000</v>
      </c>
      <c r="G757" s="17">
        <v>35860.06</v>
      </c>
      <c r="H757" s="1"/>
      <c r="I757" s="1" t="s">
        <v>21</v>
      </c>
      <c r="J757" s="1" t="s">
        <v>32</v>
      </c>
      <c r="K757" s="1"/>
      <c r="L757" s="1" t="s">
        <v>252</v>
      </c>
      <c r="M757" s="1"/>
      <c r="N757" s="1" t="s">
        <v>130</v>
      </c>
      <c r="O757" s="31">
        <v>4</v>
      </c>
      <c r="P757" s="31">
        <v>2</v>
      </c>
      <c r="Q757" s="32">
        <v>2001</v>
      </c>
    </row>
    <row r="758" spans="1:17" x14ac:dyDescent="0.25">
      <c r="A758" s="1" t="s">
        <v>277</v>
      </c>
      <c r="B758" s="31">
        <v>41.7</v>
      </c>
      <c r="C758" s="1" t="s">
        <v>20</v>
      </c>
      <c r="D758" s="2">
        <v>42736</v>
      </c>
      <c r="E758" s="2">
        <v>42736</v>
      </c>
      <c r="F758" s="17">
        <v>1500000</v>
      </c>
      <c r="G758" s="17">
        <v>35971.22</v>
      </c>
      <c r="H758" s="1"/>
      <c r="I758" s="1" t="s">
        <v>21</v>
      </c>
      <c r="J758" s="1" t="s">
        <v>32</v>
      </c>
      <c r="K758" s="1"/>
      <c r="L758" s="1" t="s">
        <v>252</v>
      </c>
      <c r="M758" s="1"/>
      <c r="N758" s="1"/>
      <c r="O758" s="31">
        <v>3</v>
      </c>
      <c r="P758" s="31">
        <v>2</v>
      </c>
      <c r="Q758" s="32">
        <v>2002</v>
      </c>
    </row>
    <row r="759" spans="1:17" x14ac:dyDescent="0.25">
      <c r="A759" s="1" t="s">
        <v>277</v>
      </c>
      <c r="B759" s="31">
        <v>41.7</v>
      </c>
      <c r="C759" s="1" t="s">
        <v>20</v>
      </c>
      <c r="D759" s="2">
        <v>42736</v>
      </c>
      <c r="E759" s="2">
        <v>42736</v>
      </c>
      <c r="F759" s="17">
        <v>1500000</v>
      </c>
      <c r="G759" s="17">
        <v>35971.22</v>
      </c>
      <c r="H759" s="1"/>
      <c r="I759" s="1" t="s">
        <v>21</v>
      </c>
      <c r="J759" s="1" t="s">
        <v>32</v>
      </c>
      <c r="K759" s="1"/>
      <c r="L759" s="1" t="s">
        <v>252</v>
      </c>
      <c r="M759" s="1"/>
      <c r="N759" s="1"/>
      <c r="O759" s="31">
        <v>3</v>
      </c>
      <c r="P759" s="31">
        <v>2</v>
      </c>
      <c r="Q759" s="32">
        <v>2002</v>
      </c>
    </row>
    <row r="760" spans="1:17" x14ac:dyDescent="0.25">
      <c r="A760" s="1" t="s">
        <v>261</v>
      </c>
      <c r="B760" s="31">
        <v>42.3</v>
      </c>
      <c r="C760" s="1" t="s">
        <v>20</v>
      </c>
      <c r="D760" s="2">
        <v>42644</v>
      </c>
      <c r="E760" s="2">
        <v>42675</v>
      </c>
      <c r="F760" s="17">
        <v>1522500</v>
      </c>
      <c r="G760" s="17">
        <v>35992.910000000003</v>
      </c>
      <c r="H760" s="1"/>
      <c r="I760" s="1" t="s">
        <v>21</v>
      </c>
      <c r="J760" s="1" t="s">
        <v>22</v>
      </c>
      <c r="K760" s="1"/>
      <c r="L760" s="1" t="s">
        <v>252</v>
      </c>
      <c r="M760" s="1"/>
      <c r="N760" s="1"/>
      <c r="O760" s="31">
        <v>7</v>
      </c>
      <c r="P760" s="31">
        <v>2</v>
      </c>
      <c r="Q760" s="32">
        <v>2016</v>
      </c>
    </row>
    <row r="761" spans="1:17" x14ac:dyDescent="0.25">
      <c r="A761" s="1" t="s">
        <v>261</v>
      </c>
      <c r="B761" s="31">
        <v>42.3</v>
      </c>
      <c r="C761" s="1" t="s">
        <v>20</v>
      </c>
      <c r="D761" s="2">
        <v>42644</v>
      </c>
      <c r="E761" s="2">
        <v>42675</v>
      </c>
      <c r="F761" s="17">
        <v>1522500</v>
      </c>
      <c r="G761" s="17">
        <v>35992.910000000003</v>
      </c>
      <c r="H761" s="1"/>
      <c r="I761" s="1" t="s">
        <v>21</v>
      </c>
      <c r="J761" s="1" t="s">
        <v>22</v>
      </c>
      <c r="K761" s="1"/>
      <c r="L761" s="1" t="s">
        <v>252</v>
      </c>
      <c r="M761" s="1"/>
      <c r="N761" s="1"/>
      <c r="O761" s="31">
        <v>7</v>
      </c>
      <c r="P761" s="31">
        <v>2</v>
      </c>
      <c r="Q761" s="32">
        <v>2016</v>
      </c>
    </row>
    <row r="762" spans="1:17" x14ac:dyDescent="0.25">
      <c r="A762" s="1" t="s">
        <v>259</v>
      </c>
      <c r="B762" s="31">
        <v>34.200000000000003</v>
      </c>
      <c r="C762" s="1" t="s">
        <v>20</v>
      </c>
      <c r="D762" s="2">
        <v>42644</v>
      </c>
      <c r="E762" s="2">
        <v>42675</v>
      </c>
      <c r="F762" s="17">
        <v>1235000</v>
      </c>
      <c r="G762" s="17">
        <v>36111.11</v>
      </c>
      <c r="H762" s="1"/>
      <c r="I762" s="1" t="s">
        <v>21</v>
      </c>
      <c r="J762" s="1" t="s">
        <v>32</v>
      </c>
      <c r="K762" s="1"/>
      <c r="L762" s="1" t="s">
        <v>252</v>
      </c>
      <c r="M762" s="1"/>
      <c r="N762" s="1"/>
      <c r="O762" s="31">
        <v>7</v>
      </c>
      <c r="P762" s="31">
        <v>1</v>
      </c>
      <c r="Q762" s="32">
        <v>2015</v>
      </c>
    </row>
    <row r="763" spans="1:17" x14ac:dyDescent="0.25">
      <c r="A763" s="1" t="s">
        <v>261</v>
      </c>
      <c r="B763" s="31">
        <v>35.299999999999997</v>
      </c>
      <c r="C763" s="1" t="s">
        <v>20</v>
      </c>
      <c r="D763" s="2">
        <v>42767</v>
      </c>
      <c r="E763" s="2">
        <v>42795</v>
      </c>
      <c r="F763" s="17">
        <v>1291500</v>
      </c>
      <c r="G763" s="17">
        <v>36586.400000000001</v>
      </c>
      <c r="H763" s="1"/>
      <c r="I763" s="1" t="s">
        <v>21</v>
      </c>
      <c r="J763" s="1" t="s">
        <v>22</v>
      </c>
      <c r="K763" s="1"/>
      <c r="L763" s="1" t="s">
        <v>252</v>
      </c>
      <c r="M763" s="1"/>
      <c r="N763" s="1"/>
      <c r="O763" s="31">
        <v>6</v>
      </c>
      <c r="P763" s="31">
        <v>1</v>
      </c>
      <c r="Q763" s="32">
        <v>2017</v>
      </c>
    </row>
    <row r="764" spans="1:17" x14ac:dyDescent="0.25">
      <c r="A764" s="1" t="s">
        <v>256</v>
      </c>
      <c r="B764" s="31">
        <v>63.1</v>
      </c>
      <c r="C764" s="1" t="s">
        <v>20</v>
      </c>
      <c r="D764" s="2">
        <v>42736</v>
      </c>
      <c r="E764" s="2">
        <v>42736</v>
      </c>
      <c r="F764" s="17">
        <v>2329026</v>
      </c>
      <c r="G764" s="17">
        <v>36910.080000000002</v>
      </c>
      <c r="H764" s="1"/>
      <c r="I764" s="1" t="s">
        <v>21</v>
      </c>
      <c r="J764" s="1" t="s">
        <v>32</v>
      </c>
      <c r="K764" s="1"/>
      <c r="L764" s="1" t="s">
        <v>252</v>
      </c>
      <c r="M764" s="1"/>
      <c r="N764" s="1"/>
      <c r="O764" s="31">
        <v>9</v>
      </c>
      <c r="P764" s="31">
        <v>2</v>
      </c>
      <c r="Q764" s="32">
        <v>2009</v>
      </c>
    </row>
    <row r="765" spans="1:17" x14ac:dyDescent="0.25">
      <c r="A765" s="1" t="s">
        <v>256</v>
      </c>
      <c r="B765" s="31">
        <v>63.1</v>
      </c>
      <c r="C765" s="1" t="s">
        <v>20</v>
      </c>
      <c r="D765" s="2">
        <v>42736</v>
      </c>
      <c r="E765" s="2">
        <v>42736</v>
      </c>
      <c r="F765" s="17">
        <v>2329026</v>
      </c>
      <c r="G765" s="17">
        <v>36910.080000000002</v>
      </c>
      <c r="H765" s="1"/>
      <c r="I765" s="1" t="s">
        <v>21</v>
      </c>
      <c r="J765" s="1" t="s">
        <v>32</v>
      </c>
      <c r="K765" s="1"/>
      <c r="L765" s="1" t="s">
        <v>252</v>
      </c>
      <c r="M765" s="1"/>
      <c r="N765" s="1"/>
      <c r="O765" s="31">
        <v>9</v>
      </c>
      <c r="P765" s="31">
        <v>2</v>
      </c>
      <c r="Q765" s="32">
        <v>2009</v>
      </c>
    </row>
    <row r="766" spans="1:17" x14ac:dyDescent="0.25">
      <c r="A766" s="1" t="s">
        <v>259</v>
      </c>
      <c r="B766" s="31">
        <v>54.9</v>
      </c>
      <c r="C766" s="1" t="s">
        <v>20</v>
      </c>
      <c r="D766" s="2">
        <v>42736</v>
      </c>
      <c r="E766" s="2">
        <v>42736</v>
      </c>
      <c r="F766" s="17">
        <v>2030000</v>
      </c>
      <c r="G766" s="17">
        <v>36976.32</v>
      </c>
      <c r="H766" s="1"/>
      <c r="I766" s="1" t="s">
        <v>21</v>
      </c>
      <c r="J766" s="1" t="s">
        <v>32</v>
      </c>
      <c r="K766" s="1"/>
      <c r="L766" s="1" t="s">
        <v>252</v>
      </c>
      <c r="M766" s="1"/>
      <c r="N766" s="1"/>
      <c r="O766" s="31">
        <v>5</v>
      </c>
      <c r="P766" s="31">
        <v>2</v>
      </c>
      <c r="Q766" s="32">
        <v>2008</v>
      </c>
    </row>
    <row r="767" spans="1:17" x14ac:dyDescent="0.25">
      <c r="A767" s="1" t="s">
        <v>259</v>
      </c>
      <c r="B767" s="31">
        <v>54.9</v>
      </c>
      <c r="C767" s="1" t="s">
        <v>20</v>
      </c>
      <c r="D767" s="2">
        <v>42736</v>
      </c>
      <c r="E767" s="2">
        <v>42736</v>
      </c>
      <c r="F767" s="17">
        <v>2030000</v>
      </c>
      <c r="G767" s="17">
        <v>36976.32</v>
      </c>
      <c r="H767" s="1"/>
      <c r="I767" s="1" t="s">
        <v>21</v>
      </c>
      <c r="J767" s="1" t="s">
        <v>32</v>
      </c>
      <c r="K767" s="1"/>
      <c r="L767" s="1" t="s">
        <v>252</v>
      </c>
      <c r="M767" s="1"/>
      <c r="N767" s="1"/>
      <c r="O767" s="31">
        <v>5</v>
      </c>
      <c r="P767" s="31">
        <v>2</v>
      </c>
      <c r="Q767" s="32">
        <v>2008</v>
      </c>
    </row>
    <row r="768" spans="1:17" x14ac:dyDescent="0.25">
      <c r="A768" s="1" t="s">
        <v>262</v>
      </c>
      <c r="B768" s="31">
        <v>39</v>
      </c>
      <c r="C768" s="1" t="s">
        <v>20</v>
      </c>
      <c r="D768" s="2">
        <v>42705</v>
      </c>
      <c r="E768" s="2">
        <v>42705</v>
      </c>
      <c r="F768" s="17">
        <v>1450000</v>
      </c>
      <c r="G768" s="17">
        <v>37179.49</v>
      </c>
      <c r="H768" s="1"/>
      <c r="I768" s="1" t="s">
        <v>21</v>
      </c>
      <c r="J768" s="1" t="s">
        <v>32</v>
      </c>
      <c r="K768" s="1"/>
      <c r="L768" s="1" t="s">
        <v>252</v>
      </c>
      <c r="M768" s="1"/>
      <c r="N768" s="1" t="s">
        <v>258</v>
      </c>
      <c r="O768" s="31">
        <v>8</v>
      </c>
      <c r="P768" s="31">
        <v>1</v>
      </c>
      <c r="Q768" s="32">
        <v>2012</v>
      </c>
    </row>
    <row r="769" spans="1:17" x14ac:dyDescent="0.25">
      <c r="A769" s="1" t="s">
        <v>276</v>
      </c>
      <c r="B769" s="31">
        <v>62.4</v>
      </c>
      <c r="C769" s="1" t="s">
        <v>20</v>
      </c>
      <c r="D769" s="2">
        <v>42767</v>
      </c>
      <c r="E769" s="2">
        <v>42767</v>
      </c>
      <c r="F769" s="17">
        <v>2352000</v>
      </c>
      <c r="G769" s="17">
        <v>37692.31</v>
      </c>
      <c r="H769" s="1"/>
      <c r="I769" s="1" t="s">
        <v>21</v>
      </c>
      <c r="J769" s="1" t="s">
        <v>32</v>
      </c>
      <c r="K769" s="1"/>
      <c r="L769" s="1" t="s">
        <v>252</v>
      </c>
      <c r="M769" s="1"/>
      <c r="N769" s="1" t="s">
        <v>258</v>
      </c>
      <c r="O769" s="31">
        <v>2</v>
      </c>
      <c r="P769" s="31">
        <v>1</v>
      </c>
      <c r="Q769" s="32">
        <v>2015</v>
      </c>
    </row>
    <row r="770" spans="1:17" x14ac:dyDescent="0.25">
      <c r="A770" s="1" t="s">
        <v>266</v>
      </c>
      <c r="B770" s="31">
        <v>65.3</v>
      </c>
      <c r="C770" s="1" t="s">
        <v>20</v>
      </c>
      <c r="D770" s="2">
        <v>42767</v>
      </c>
      <c r="E770" s="2">
        <v>42767</v>
      </c>
      <c r="F770" s="17">
        <v>2464000</v>
      </c>
      <c r="G770" s="17">
        <v>37733.54</v>
      </c>
      <c r="H770" s="1"/>
      <c r="I770" s="1" t="s">
        <v>21</v>
      </c>
      <c r="J770" s="1" t="s">
        <v>22</v>
      </c>
      <c r="K770" s="1"/>
      <c r="L770" s="1" t="s">
        <v>252</v>
      </c>
      <c r="M770" s="1"/>
      <c r="N770" s="1"/>
      <c r="O770" s="31">
        <v>5</v>
      </c>
      <c r="P770" s="31">
        <v>2</v>
      </c>
      <c r="Q770" s="32">
        <v>2017</v>
      </c>
    </row>
    <row r="771" spans="1:17" x14ac:dyDescent="0.25">
      <c r="A771" s="1" t="s">
        <v>266</v>
      </c>
      <c r="B771" s="31">
        <v>65.3</v>
      </c>
      <c r="C771" s="1" t="s">
        <v>20</v>
      </c>
      <c r="D771" s="2">
        <v>42767</v>
      </c>
      <c r="E771" s="2">
        <v>42767</v>
      </c>
      <c r="F771" s="17">
        <v>2464000</v>
      </c>
      <c r="G771" s="17">
        <v>37733.54</v>
      </c>
      <c r="H771" s="1"/>
      <c r="I771" s="1" t="s">
        <v>21</v>
      </c>
      <c r="J771" s="1" t="s">
        <v>22</v>
      </c>
      <c r="K771" s="1"/>
      <c r="L771" s="1" t="s">
        <v>252</v>
      </c>
      <c r="M771" s="1"/>
      <c r="N771" s="1"/>
      <c r="O771" s="31">
        <v>5</v>
      </c>
      <c r="P771" s="31">
        <v>2</v>
      </c>
      <c r="Q771" s="32">
        <v>2017</v>
      </c>
    </row>
    <row r="772" spans="1:17" x14ac:dyDescent="0.25">
      <c r="A772" s="1" t="s">
        <v>259</v>
      </c>
      <c r="B772" s="31">
        <v>37.9</v>
      </c>
      <c r="C772" s="1" t="s">
        <v>20</v>
      </c>
      <c r="D772" s="2">
        <v>42705</v>
      </c>
      <c r="E772" s="2">
        <v>42705</v>
      </c>
      <c r="F772" s="17">
        <v>1440000</v>
      </c>
      <c r="G772" s="17">
        <v>37994.720000000001</v>
      </c>
      <c r="H772" s="1"/>
      <c r="I772" s="1" t="s">
        <v>21</v>
      </c>
      <c r="J772" s="1" t="s">
        <v>32</v>
      </c>
      <c r="K772" s="1"/>
      <c r="L772" s="1" t="s">
        <v>252</v>
      </c>
      <c r="M772" s="1"/>
      <c r="N772" s="1"/>
      <c r="O772" s="31">
        <v>2</v>
      </c>
      <c r="P772" s="31">
        <v>1</v>
      </c>
      <c r="Q772" s="32">
        <v>2011</v>
      </c>
    </row>
    <row r="773" spans="1:17" x14ac:dyDescent="0.25">
      <c r="A773" s="1" t="s">
        <v>262</v>
      </c>
      <c r="B773" s="31">
        <v>57.6</v>
      </c>
      <c r="C773" s="1" t="s">
        <v>20</v>
      </c>
      <c r="D773" s="2">
        <v>42675</v>
      </c>
      <c r="E773" s="2">
        <v>42675</v>
      </c>
      <c r="F773" s="17">
        <v>2200000</v>
      </c>
      <c r="G773" s="17">
        <v>38194.44</v>
      </c>
      <c r="H773" s="1"/>
      <c r="I773" s="1" t="s">
        <v>21</v>
      </c>
      <c r="J773" s="1" t="s">
        <v>32</v>
      </c>
      <c r="K773" s="1"/>
      <c r="L773" s="1" t="s">
        <v>252</v>
      </c>
      <c r="M773" s="1"/>
      <c r="N773" s="1" t="s">
        <v>258</v>
      </c>
      <c r="O773" s="31">
        <v>3</v>
      </c>
      <c r="P773" s="31">
        <v>2</v>
      </c>
      <c r="Q773" s="32">
        <v>2010</v>
      </c>
    </row>
    <row r="774" spans="1:17" x14ac:dyDescent="0.25">
      <c r="A774" s="1" t="s">
        <v>262</v>
      </c>
      <c r="B774" s="31">
        <v>57.6</v>
      </c>
      <c r="C774" s="1" t="s">
        <v>20</v>
      </c>
      <c r="D774" s="2">
        <v>42675</v>
      </c>
      <c r="E774" s="2">
        <v>42675</v>
      </c>
      <c r="F774" s="17">
        <v>2200000</v>
      </c>
      <c r="G774" s="17">
        <v>38194.44</v>
      </c>
      <c r="H774" s="1"/>
      <c r="I774" s="1" t="s">
        <v>21</v>
      </c>
      <c r="J774" s="1" t="s">
        <v>32</v>
      </c>
      <c r="K774" s="1"/>
      <c r="L774" s="1" t="s">
        <v>252</v>
      </c>
      <c r="M774" s="1"/>
      <c r="N774" s="1" t="s">
        <v>258</v>
      </c>
      <c r="O774" s="31">
        <v>3</v>
      </c>
      <c r="P774" s="31">
        <v>2</v>
      </c>
      <c r="Q774" s="32">
        <v>2010</v>
      </c>
    </row>
    <row r="775" spans="1:17" x14ac:dyDescent="0.25">
      <c r="A775" s="1" t="s">
        <v>266</v>
      </c>
      <c r="B775" s="31">
        <v>35.799999999999997</v>
      </c>
      <c r="C775" s="1" t="s">
        <v>20</v>
      </c>
      <c r="D775" s="2">
        <v>42705</v>
      </c>
      <c r="E775" s="2">
        <v>42705</v>
      </c>
      <c r="F775" s="17">
        <v>1370000</v>
      </c>
      <c r="G775" s="17">
        <v>38268.160000000003</v>
      </c>
      <c r="H775" s="1"/>
      <c r="I775" s="1" t="s">
        <v>21</v>
      </c>
      <c r="J775" s="1" t="s">
        <v>32</v>
      </c>
      <c r="K775" s="1"/>
      <c r="L775" s="1" t="s">
        <v>252</v>
      </c>
      <c r="M775" s="1"/>
      <c r="N775" s="1" t="s">
        <v>254</v>
      </c>
      <c r="O775" s="31">
        <v>8</v>
      </c>
      <c r="P775" s="31">
        <v>2</v>
      </c>
      <c r="Q775" s="32">
        <v>2013</v>
      </c>
    </row>
    <row r="776" spans="1:17" x14ac:dyDescent="0.25">
      <c r="A776" s="1" t="s">
        <v>266</v>
      </c>
      <c r="B776" s="31">
        <v>35.799999999999997</v>
      </c>
      <c r="C776" s="1" t="s">
        <v>20</v>
      </c>
      <c r="D776" s="2">
        <v>42705</v>
      </c>
      <c r="E776" s="2">
        <v>42705</v>
      </c>
      <c r="F776" s="17">
        <v>1370000</v>
      </c>
      <c r="G776" s="17">
        <v>38268.160000000003</v>
      </c>
      <c r="H776" s="1"/>
      <c r="I776" s="1" t="s">
        <v>21</v>
      </c>
      <c r="J776" s="1" t="s">
        <v>32</v>
      </c>
      <c r="K776" s="1"/>
      <c r="L776" s="1" t="s">
        <v>252</v>
      </c>
      <c r="M776" s="1"/>
      <c r="N776" s="1" t="s">
        <v>254</v>
      </c>
      <c r="O776" s="31">
        <v>8</v>
      </c>
      <c r="P776" s="31">
        <v>2</v>
      </c>
      <c r="Q776" s="32">
        <v>2013</v>
      </c>
    </row>
    <row r="777" spans="1:17" x14ac:dyDescent="0.25">
      <c r="A777" s="1" t="s">
        <v>276</v>
      </c>
      <c r="B777" s="31">
        <v>37.6</v>
      </c>
      <c r="C777" s="1" t="s">
        <v>20</v>
      </c>
      <c r="D777" s="2">
        <v>42675</v>
      </c>
      <c r="E777" s="2">
        <v>42675</v>
      </c>
      <c r="F777" s="17">
        <v>1450000</v>
      </c>
      <c r="G777" s="17">
        <v>38563.83</v>
      </c>
      <c r="H777" s="1"/>
      <c r="I777" s="1" t="s">
        <v>21</v>
      </c>
      <c r="J777" s="1" t="s">
        <v>22</v>
      </c>
      <c r="K777" s="1"/>
      <c r="L777" s="1" t="s">
        <v>252</v>
      </c>
      <c r="M777" s="1"/>
      <c r="N777" s="1" t="s">
        <v>258</v>
      </c>
      <c r="O777" s="31">
        <v>5</v>
      </c>
      <c r="P777" s="31">
        <v>2</v>
      </c>
      <c r="Q777" s="32">
        <v>2016</v>
      </c>
    </row>
    <row r="778" spans="1:17" x14ac:dyDescent="0.25">
      <c r="A778" s="1" t="s">
        <v>276</v>
      </c>
      <c r="B778" s="31">
        <v>37.6</v>
      </c>
      <c r="C778" s="1" t="s">
        <v>20</v>
      </c>
      <c r="D778" s="2">
        <v>42675</v>
      </c>
      <c r="E778" s="2">
        <v>42675</v>
      </c>
      <c r="F778" s="17">
        <v>1450000</v>
      </c>
      <c r="G778" s="17">
        <v>38563.83</v>
      </c>
      <c r="H778" s="1"/>
      <c r="I778" s="1" t="s">
        <v>21</v>
      </c>
      <c r="J778" s="1" t="s">
        <v>22</v>
      </c>
      <c r="K778" s="1"/>
      <c r="L778" s="1" t="s">
        <v>252</v>
      </c>
      <c r="M778" s="1"/>
      <c r="N778" s="1" t="s">
        <v>258</v>
      </c>
      <c r="O778" s="31">
        <v>5</v>
      </c>
      <c r="P778" s="31">
        <v>2</v>
      </c>
      <c r="Q778" s="32">
        <v>2016</v>
      </c>
    </row>
    <row r="779" spans="1:17" x14ac:dyDescent="0.25">
      <c r="A779" s="1" t="s">
        <v>272</v>
      </c>
      <c r="B779" s="31">
        <v>58.7</v>
      </c>
      <c r="C779" s="1" t="s">
        <v>20</v>
      </c>
      <c r="D779" s="2">
        <v>42705</v>
      </c>
      <c r="E779" s="2">
        <v>42705</v>
      </c>
      <c r="F779" s="17">
        <v>2317026</v>
      </c>
      <c r="G779" s="17">
        <v>39472.33</v>
      </c>
      <c r="H779" s="1"/>
      <c r="I779" s="1" t="s">
        <v>21</v>
      </c>
      <c r="J779" s="1" t="s">
        <v>32</v>
      </c>
      <c r="K779" s="1"/>
      <c r="L779" s="1" t="s">
        <v>252</v>
      </c>
      <c r="M779" s="1"/>
      <c r="N779" s="1" t="s">
        <v>130</v>
      </c>
      <c r="O779" s="31">
        <v>8</v>
      </c>
      <c r="P779" s="31">
        <v>2</v>
      </c>
      <c r="Q779" s="32">
        <v>2010</v>
      </c>
    </row>
    <row r="780" spans="1:17" x14ac:dyDescent="0.25">
      <c r="A780" s="1" t="s">
        <v>272</v>
      </c>
      <c r="B780" s="31">
        <v>58.7</v>
      </c>
      <c r="C780" s="1" t="s">
        <v>20</v>
      </c>
      <c r="D780" s="2">
        <v>42705</v>
      </c>
      <c r="E780" s="2">
        <v>42705</v>
      </c>
      <c r="F780" s="17">
        <v>2317026</v>
      </c>
      <c r="G780" s="17">
        <v>39472.33</v>
      </c>
      <c r="H780" s="1"/>
      <c r="I780" s="1" t="s">
        <v>21</v>
      </c>
      <c r="J780" s="1" t="s">
        <v>32</v>
      </c>
      <c r="K780" s="1"/>
      <c r="L780" s="1" t="s">
        <v>252</v>
      </c>
      <c r="M780" s="1"/>
      <c r="N780" s="1" t="s">
        <v>130</v>
      </c>
      <c r="O780" s="31">
        <v>8</v>
      </c>
      <c r="P780" s="31">
        <v>2</v>
      </c>
      <c r="Q780" s="32">
        <v>2010</v>
      </c>
    </row>
    <row r="781" spans="1:17" x14ac:dyDescent="0.25">
      <c r="A781" s="1" t="s">
        <v>267</v>
      </c>
      <c r="B781" s="31">
        <v>63.6</v>
      </c>
      <c r="C781" s="1" t="s">
        <v>20</v>
      </c>
      <c r="D781" s="2">
        <v>42767</v>
      </c>
      <c r="E781" s="2">
        <v>42767</v>
      </c>
      <c r="F781" s="17">
        <v>2513000</v>
      </c>
      <c r="G781" s="17">
        <v>39512.58</v>
      </c>
      <c r="H781" s="1"/>
      <c r="I781" s="1" t="s">
        <v>21</v>
      </c>
      <c r="J781" s="1" t="s">
        <v>22</v>
      </c>
      <c r="K781" s="1"/>
      <c r="L781" s="1" t="s">
        <v>252</v>
      </c>
      <c r="M781" s="1"/>
      <c r="N781" s="1"/>
      <c r="O781" s="31">
        <v>10</v>
      </c>
      <c r="P781" s="31">
        <v>2</v>
      </c>
      <c r="Q781" s="32">
        <v>2016</v>
      </c>
    </row>
    <row r="782" spans="1:17" x14ac:dyDescent="0.25">
      <c r="A782" s="1" t="s">
        <v>273</v>
      </c>
      <c r="B782" s="31">
        <v>39.9</v>
      </c>
      <c r="C782" s="1" t="s">
        <v>20</v>
      </c>
      <c r="D782" s="2">
        <v>42705</v>
      </c>
      <c r="E782" s="2">
        <v>42705</v>
      </c>
      <c r="F782" s="17">
        <v>1600000</v>
      </c>
      <c r="G782" s="17">
        <v>40100.25</v>
      </c>
      <c r="H782" s="1"/>
      <c r="I782" s="1" t="s">
        <v>21</v>
      </c>
      <c r="J782" s="1" t="s">
        <v>32</v>
      </c>
      <c r="K782" s="1"/>
      <c r="L782" s="1" t="s">
        <v>252</v>
      </c>
      <c r="M782" s="1"/>
      <c r="N782" s="1"/>
      <c r="O782" s="31">
        <v>5</v>
      </c>
      <c r="P782" s="31">
        <v>1</v>
      </c>
      <c r="Q782" s="32">
        <v>2006</v>
      </c>
    </row>
    <row r="783" spans="1:17" x14ac:dyDescent="0.25">
      <c r="A783" s="1" t="s">
        <v>267</v>
      </c>
      <c r="B783" s="31">
        <v>63.9</v>
      </c>
      <c r="C783" s="1" t="s">
        <v>20</v>
      </c>
      <c r="D783" s="2">
        <v>42614</v>
      </c>
      <c r="E783" s="2">
        <v>42644</v>
      </c>
      <c r="F783" s="17">
        <v>2591600</v>
      </c>
      <c r="G783" s="17">
        <v>40557.120000000003</v>
      </c>
      <c r="H783" s="1"/>
      <c r="I783" s="1" t="s">
        <v>21</v>
      </c>
      <c r="J783" s="1" t="s">
        <v>22</v>
      </c>
      <c r="K783" s="1"/>
      <c r="L783" s="1" t="s">
        <v>252</v>
      </c>
      <c r="M783" s="1"/>
      <c r="N783" s="1"/>
      <c r="O783" s="31">
        <v>2</v>
      </c>
      <c r="P783" s="31">
        <v>2</v>
      </c>
      <c r="Q783" s="32">
        <v>2016</v>
      </c>
    </row>
    <row r="784" spans="1:17" x14ac:dyDescent="0.25">
      <c r="A784" s="1" t="s">
        <v>267</v>
      </c>
      <c r="B784" s="31">
        <v>63.9</v>
      </c>
      <c r="C784" s="1" t="s">
        <v>20</v>
      </c>
      <c r="D784" s="2">
        <v>42614</v>
      </c>
      <c r="E784" s="2">
        <v>42644</v>
      </c>
      <c r="F784" s="17">
        <v>2591600</v>
      </c>
      <c r="G784" s="17">
        <v>40557.120000000003</v>
      </c>
      <c r="H784" s="1"/>
      <c r="I784" s="1" t="s">
        <v>21</v>
      </c>
      <c r="J784" s="1" t="s">
        <v>22</v>
      </c>
      <c r="K784" s="1"/>
      <c r="L784" s="1" t="s">
        <v>252</v>
      </c>
      <c r="M784" s="1"/>
      <c r="N784" s="1"/>
      <c r="O784" s="31">
        <v>2</v>
      </c>
      <c r="P784" s="31">
        <v>2</v>
      </c>
      <c r="Q784" s="32">
        <v>2016</v>
      </c>
    </row>
    <row r="785" spans="1:17" x14ac:dyDescent="0.25">
      <c r="A785" s="1" t="s">
        <v>267</v>
      </c>
      <c r="B785" s="31">
        <v>35.5</v>
      </c>
      <c r="C785" s="1" t="s">
        <v>20</v>
      </c>
      <c r="D785" s="2">
        <v>42644</v>
      </c>
      <c r="E785" s="2">
        <v>42644</v>
      </c>
      <c r="F785" s="17">
        <v>1442000</v>
      </c>
      <c r="G785" s="17">
        <v>40619.72</v>
      </c>
      <c r="H785" s="1"/>
      <c r="I785" s="1" t="s">
        <v>21</v>
      </c>
      <c r="J785" s="1" t="s">
        <v>22</v>
      </c>
      <c r="K785" s="1"/>
      <c r="L785" s="1" t="s">
        <v>252</v>
      </c>
      <c r="M785" s="1"/>
      <c r="N785" s="1"/>
      <c r="O785" s="31">
        <v>9</v>
      </c>
      <c r="P785" s="31">
        <v>2</v>
      </c>
      <c r="Q785" s="32">
        <v>2016</v>
      </c>
    </row>
    <row r="786" spans="1:17" x14ac:dyDescent="0.25">
      <c r="A786" s="1" t="s">
        <v>267</v>
      </c>
      <c r="B786" s="31">
        <v>35.5</v>
      </c>
      <c r="C786" s="1" t="s">
        <v>20</v>
      </c>
      <c r="D786" s="2">
        <v>42644</v>
      </c>
      <c r="E786" s="2">
        <v>42644</v>
      </c>
      <c r="F786" s="17">
        <v>1442000</v>
      </c>
      <c r="G786" s="17">
        <v>40619.72</v>
      </c>
      <c r="H786" s="1"/>
      <c r="I786" s="1" t="s">
        <v>21</v>
      </c>
      <c r="J786" s="1" t="s">
        <v>22</v>
      </c>
      <c r="K786" s="1"/>
      <c r="L786" s="1" t="s">
        <v>252</v>
      </c>
      <c r="M786" s="1"/>
      <c r="N786" s="1"/>
      <c r="O786" s="31">
        <v>9</v>
      </c>
      <c r="P786" s="31">
        <v>2</v>
      </c>
      <c r="Q786" s="32">
        <v>2016</v>
      </c>
    </row>
    <row r="787" spans="1:17" x14ac:dyDescent="0.25">
      <c r="A787" s="1" t="s">
        <v>271</v>
      </c>
      <c r="B787" s="31">
        <v>40.200000000000003</v>
      </c>
      <c r="C787" s="1" t="s">
        <v>20</v>
      </c>
      <c r="D787" s="2">
        <v>42644</v>
      </c>
      <c r="E787" s="2">
        <v>42644</v>
      </c>
      <c r="F787" s="17">
        <v>1660000</v>
      </c>
      <c r="G787" s="17">
        <v>41293.53</v>
      </c>
      <c r="H787" s="1"/>
      <c r="I787" s="1" t="s">
        <v>21</v>
      </c>
      <c r="J787" s="1" t="s">
        <v>32</v>
      </c>
      <c r="K787" s="1"/>
      <c r="L787" s="1" t="s">
        <v>252</v>
      </c>
      <c r="M787" s="1"/>
      <c r="N787" s="1"/>
      <c r="O787" s="31">
        <v>4</v>
      </c>
      <c r="P787" s="31">
        <v>1</v>
      </c>
      <c r="Q787" s="32">
        <v>2005</v>
      </c>
    </row>
    <row r="788" spans="1:17" x14ac:dyDescent="0.25">
      <c r="A788" s="1" t="s">
        <v>259</v>
      </c>
      <c r="B788" s="31">
        <v>34.700000000000003</v>
      </c>
      <c r="C788" s="1" t="s">
        <v>20</v>
      </c>
      <c r="D788" s="2">
        <v>42736</v>
      </c>
      <c r="E788" s="2">
        <v>42736</v>
      </c>
      <c r="F788" s="17">
        <v>1460000</v>
      </c>
      <c r="G788" s="17">
        <v>42074.93</v>
      </c>
      <c r="H788" s="1"/>
      <c r="I788" s="1" t="s">
        <v>21</v>
      </c>
      <c r="J788" s="1" t="s">
        <v>32</v>
      </c>
      <c r="K788" s="1"/>
      <c r="L788" s="1" t="s">
        <v>252</v>
      </c>
      <c r="M788" s="1"/>
      <c r="N788" s="1" t="s">
        <v>174</v>
      </c>
      <c r="O788" s="31">
        <v>4</v>
      </c>
      <c r="P788" s="31">
        <v>1</v>
      </c>
      <c r="Q788" s="32">
        <v>2003</v>
      </c>
    </row>
    <row r="789" spans="1:17" x14ac:dyDescent="0.25">
      <c r="A789" s="1" t="s">
        <v>259</v>
      </c>
      <c r="B789" s="31">
        <v>33</v>
      </c>
      <c r="C789" s="1" t="s">
        <v>20</v>
      </c>
      <c r="D789" s="2">
        <v>42614</v>
      </c>
      <c r="E789" s="2">
        <v>42644</v>
      </c>
      <c r="F789" s="17">
        <v>1450000</v>
      </c>
      <c r="G789" s="17">
        <v>43939.39</v>
      </c>
      <c r="H789" s="1"/>
      <c r="I789" s="1" t="s">
        <v>21</v>
      </c>
      <c r="J789" s="1" t="s">
        <v>32</v>
      </c>
      <c r="K789" s="1"/>
      <c r="L789" s="1" t="s">
        <v>252</v>
      </c>
      <c r="M789" s="1"/>
      <c r="N789" s="1"/>
      <c r="O789" s="31">
        <v>4</v>
      </c>
      <c r="P789" s="31">
        <v>2</v>
      </c>
      <c r="Q789" s="32">
        <v>2013</v>
      </c>
    </row>
    <row r="790" spans="1:17" x14ac:dyDescent="0.25">
      <c r="A790" s="1" t="s">
        <v>259</v>
      </c>
      <c r="B790" s="31">
        <v>33</v>
      </c>
      <c r="C790" s="1" t="s">
        <v>20</v>
      </c>
      <c r="D790" s="2">
        <v>42614</v>
      </c>
      <c r="E790" s="2">
        <v>42644</v>
      </c>
      <c r="F790" s="17">
        <v>1450000</v>
      </c>
      <c r="G790" s="17">
        <v>43939.39</v>
      </c>
      <c r="H790" s="1"/>
      <c r="I790" s="1" t="s">
        <v>21</v>
      </c>
      <c r="J790" s="1" t="s">
        <v>32</v>
      </c>
      <c r="K790" s="1"/>
      <c r="L790" s="1" t="s">
        <v>252</v>
      </c>
      <c r="M790" s="1"/>
      <c r="N790" s="1"/>
      <c r="O790" s="31">
        <v>4</v>
      </c>
      <c r="P790" s="31">
        <v>2</v>
      </c>
      <c r="Q790" s="32">
        <v>2013</v>
      </c>
    </row>
    <row r="791" spans="1:17" x14ac:dyDescent="0.25">
      <c r="A791" s="1" t="s">
        <v>256</v>
      </c>
      <c r="B791" s="31">
        <v>51.6</v>
      </c>
      <c r="C791" s="1" t="s">
        <v>20</v>
      </c>
      <c r="D791" s="2">
        <v>42705</v>
      </c>
      <c r="E791" s="2">
        <v>42705</v>
      </c>
      <c r="F791" s="17">
        <v>2400000</v>
      </c>
      <c r="G791" s="17">
        <v>46511.63</v>
      </c>
      <c r="H791" s="1"/>
      <c r="I791" s="1" t="s">
        <v>21</v>
      </c>
      <c r="J791" s="1" t="s">
        <v>64</v>
      </c>
      <c r="K791" s="1"/>
      <c r="L791" s="1" t="s">
        <v>252</v>
      </c>
      <c r="M791" s="1"/>
      <c r="N791" s="1" t="s">
        <v>257</v>
      </c>
      <c r="O791" s="31">
        <v>1</v>
      </c>
      <c r="P791" s="31">
        <v>1</v>
      </c>
      <c r="Q791" s="32">
        <v>2014</v>
      </c>
    </row>
    <row r="792" spans="1:17" s="9" customFormat="1" ht="15.75" thickBot="1" x14ac:dyDescent="0.3">
      <c r="A792" s="25"/>
      <c r="B792" s="33"/>
      <c r="C792" s="25"/>
      <c r="D792" s="25"/>
      <c r="E792" s="25"/>
      <c r="F792" s="26"/>
      <c r="G792" s="26">
        <f>SUM(G463:G791)/329</f>
        <v>30759.548206686944</v>
      </c>
      <c r="H792" s="25"/>
      <c r="I792" s="25"/>
      <c r="J792" s="25"/>
      <c r="K792" s="25"/>
      <c r="L792" s="25"/>
      <c r="M792" s="25"/>
      <c r="N792" s="25"/>
      <c r="O792" s="33"/>
      <c r="P792" s="33"/>
      <c r="Q792" s="34"/>
    </row>
    <row r="793" spans="1:17" s="6" customFormat="1" x14ac:dyDescent="0.25">
      <c r="A793" s="4" t="s">
        <v>286</v>
      </c>
      <c r="B793" s="35"/>
      <c r="C793" s="5"/>
      <c r="D793" s="5"/>
      <c r="E793" s="5"/>
      <c r="F793" s="19"/>
      <c r="G793" s="19"/>
      <c r="H793" s="5"/>
      <c r="I793" s="5"/>
      <c r="J793" s="5"/>
      <c r="K793" s="5"/>
      <c r="L793" s="5"/>
      <c r="M793" s="5"/>
      <c r="N793" s="5"/>
      <c r="O793" s="35"/>
      <c r="P793" s="35"/>
      <c r="Q793" s="36"/>
    </row>
    <row r="794" spans="1:17" x14ac:dyDescent="0.25">
      <c r="A794" s="1" t="s">
        <v>287</v>
      </c>
      <c r="B794" s="31">
        <v>67.900000000000006</v>
      </c>
      <c r="C794" s="1" t="s">
        <v>20</v>
      </c>
      <c r="D794" s="2">
        <v>42644</v>
      </c>
      <c r="E794" s="2">
        <v>42644</v>
      </c>
      <c r="F794" s="17">
        <v>407000</v>
      </c>
      <c r="G794" s="17">
        <v>5994.11</v>
      </c>
      <c r="H794" s="1"/>
      <c r="I794" s="1" t="s">
        <v>21</v>
      </c>
      <c r="J794" s="1" t="s">
        <v>22</v>
      </c>
      <c r="K794" s="1" t="s">
        <v>288</v>
      </c>
      <c r="L794" s="1"/>
      <c r="M794" s="1" t="s">
        <v>286</v>
      </c>
      <c r="N794" s="1" t="s">
        <v>289</v>
      </c>
      <c r="O794" s="31">
        <v>1</v>
      </c>
      <c r="P794" s="31">
        <v>1</v>
      </c>
      <c r="Q794" s="32">
        <v>2016</v>
      </c>
    </row>
    <row r="795" spans="1:17" x14ac:dyDescent="0.25">
      <c r="A795" s="1" t="s">
        <v>290</v>
      </c>
      <c r="B795" s="31">
        <v>62.3</v>
      </c>
      <c r="C795" s="1" t="s">
        <v>20</v>
      </c>
      <c r="D795" s="2">
        <v>42675</v>
      </c>
      <c r="E795" s="2">
        <v>42675</v>
      </c>
      <c r="F795" s="17">
        <v>428100</v>
      </c>
      <c r="G795" s="17">
        <v>6871.59</v>
      </c>
      <c r="H795" s="1"/>
      <c r="I795" s="1" t="s">
        <v>21</v>
      </c>
      <c r="J795" s="1" t="s">
        <v>22</v>
      </c>
      <c r="K795" s="1" t="s">
        <v>288</v>
      </c>
      <c r="L795" s="1"/>
      <c r="M795" s="1" t="s">
        <v>286</v>
      </c>
      <c r="N795" s="1" t="s">
        <v>291</v>
      </c>
      <c r="O795" s="31">
        <v>1</v>
      </c>
      <c r="P795" s="31">
        <v>1</v>
      </c>
      <c r="Q795" s="32">
        <v>2004</v>
      </c>
    </row>
    <row r="796" spans="1:17" x14ac:dyDescent="0.25">
      <c r="A796" s="1" t="s">
        <v>292</v>
      </c>
      <c r="B796" s="31">
        <v>41.5</v>
      </c>
      <c r="C796" s="1" t="s">
        <v>20</v>
      </c>
      <c r="D796" s="2">
        <v>42675</v>
      </c>
      <c r="E796" s="2">
        <v>42705</v>
      </c>
      <c r="F796" s="17">
        <v>408100</v>
      </c>
      <c r="G796" s="17">
        <v>9833.73</v>
      </c>
      <c r="H796" s="1"/>
      <c r="I796" s="1" t="s">
        <v>21</v>
      </c>
      <c r="J796" s="1" t="s">
        <v>22</v>
      </c>
      <c r="K796" s="1" t="s">
        <v>288</v>
      </c>
      <c r="L796" s="1"/>
      <c r="M796" s="1" t="s">
        <v>286</v>
      </c>
      <c r="N796" s="1" t="s">
        <v>293</v>
      </c>
      <c r="O796" s="31">
        <v>1</v>
      </c>
      <c r="P796" s="31">
        <v>1</v>
      </c>
      <c r="Q796" s="32">
        <v>2010</v>
      </c>
    </row>
    <row r="797" spans="1:17" x14ac:dyDescent="0.25">
      <c r="A797" s="1" t="s">
        <v>294</v>
      </c>
      <c r="B797" s="31">
        <v>73.5</v>
      </c>
      <c r="C797" s="1" t="s">
        <v>20</v>
      </c>
      <c r="D797" s="2">
        <v>42705</v>
      </c>
      <c r="E797" s="2">
        <v>42705</v>
      </c>
      <c r="F797" s="17">
        <v>1316000</v>
      </c>
      <c r="G797" s="17">
        <v>17904.759999999998</v>
      </c>
      <c r="H797" s="1"/>
      <c r="I797" s="1" t="s">
        <v>21</v>
      </c>
      <c r="J797" s="1" t="s">
        <v>22</v>
      </c>
      <c r="K797" s="1" t="s">
        <v>288</v>
      </c>
      <c r="L797" s="1"/>
      <c r="M797" s="1" t="s">
        <v>286</v>
      </c>
      <c r="N797" s="1" t="s">
        <v>235</v>
      </c>
      <c r="O797" s="31">
        <v>1</v>
      </c>
      <c r="P797" s="31">
        <v>1</v>
      </c>
      <c r="Q797" s="32">
        <v>2011</v>
      </c>
    </row>
    <row r="798" spans="1:17" s="9" customFormat="1" ht="15.75" thickBot="1" x14ac:dyDescent="0.3">
      <c r="A798" s="25"/>
      <c r="B798" s="33"/>
      <c r="C798" s="25"/>
      <c r="D798" s="25"/>
      <c r="E798" s="25"/>
      <c r="F798" s="26"/>
      <c r="G798" s="26">
        <f>SUM(G794:G797)/4</f>
        <v>10151.047500000001</v>
      </c>
      <c r="H798" s="25"/>
      <c r="I798" s="25"/>
      <c r="J798" s="25"/>
      <c r="K798" s="25"/>
      <c r="L798" s="25"/>
      <c r="M798" s="25"/>
      <c r="N798" s="25"/>
      <c r="O798" s="33"/>
      <c r="P798" s="33"/>
      <c r="Q798" s="34"/>
    </row>
    <row r="799" spans="1:17" s="6" customFormat="1" x14ac:dyDescent="0.25">
      <c r="A799" s="4" t="s">
        <v>295</v>
      </c>
      <c r="B799" s="35"/>
      <c r="C799" s="5"/>
      <c r="D799" s="5"/>
      <c r="E799" s="5"/>
      <c r="F799" s="19"/>
      <c r="G799" s="19"/>
      <c r="H799" s="5"/>
      <c r="I799" s="5"/>
      <c r="J799" s="5"/>
      <c r="K799" s="5"/>
      <c r="L799" s="5"/>
      <c r="M799" s="5"/>
      <c r="N799" s="5"/>
      <c r="O799" s="35"/>
      <c r="P799" s="35"/>
      <c r="Q799" s="36"/>
    </row>
    <row r="800" spans="1:17" x14ac:dyDescent="0.25">
      <c r="A800" s="1" t="s">
        <v>316</v>
      </c>
      <c r="B800" s="31">
        <v>45.6</v>
      </c>
      <c r="C800" s="1" t="s">
        <v>20</v>
      </c>
      <c r="D800" s="2">
        <v>42767</v>
      </c>
      <c r="E800" s="2">
        <v>42795</v>
      </c>
      <c r="F800" s="17">
        <v>1190000</v>
      </c>
      <c r="G800" s="17">
        <v>26096.49</v>
      </c>
      <c r="H800" s="1"/>
      <c r="I800" s="1" t="s">
        <v>21</v>
      </c>
      <c r="J800" s="1" t="s">
        <v>22</v>
      </c>
      <c r="K800" s="1"/>
      <c r="L800" s="1" t="s">
        <v>295</v>
      </c>
      <c r="M800" s="1"/>
      <c r="N800" s="1" t="s">
        <v>128</v>
      </c>
      <c r="O800" s="31">
        <v>5</v>
      </c>
      <c r="P800" s="31">
        <v>1</v>
      </c>
      <c r="Q800" s="32">
        <v>2008</v>
      </c>
    </row>
    <row r="801" spans="1:17" x14ac:dyDescent="0.25">
      <c r="A801" s="1" t="s">
        <v>306</v>
      </c>
      <c r="B801" s="31">
        <v>32.799999999999997</v>
      </c>
      <c r="C801" s="1" t="s">
        <v>20</v>
      </c>
      <c r="D801" s="2">
        <v>42644</v>
      </c>
      <c r="E801" s="2">
        <v>42644</v>
      </c>
      <c r="F801" s="17">
        <v>860000</v>
      </c>
      <c r="G801" s="17">
        <v>26219.51</v>
      </c>
      <c r="H801" s="1"/>
      <c r="I801" s="1" t="s">
        <v>21</v>
      </c>
      <c r="J801" s="1" t="s">
        <v>22</v>
      </c>
      <c r="K801" s="1"/>
      <c r="L801" s="1" t="s">
        <v>295</v>
      </c>
      <c r="M801" s="1"/>
      <c r="N801" s="1" t="s">
        <v>194</v>
      </c>
      <c r="O801" s="31">
        <v>5</v>
      </c>
      <c r="P801" s="31">
        <v>1</v>
      </c>
      <c r="Q801" s="32">
        <v>2006</v>
      </c>
    </row>
    <row r="802" spans="1:17" x14ac:dyDescent="0.25">
      <c r="A802" s="1" t="s">
        <v>315</v>
      </c>
      <c r="B802" s="31">
        <v>43.7</v>
      </c>
      <c r="C802" s="1" t="s">
        <v>20</v>
      </c>
      <c r="D802" s="2">
        <v>42767</v>
      </c>
      <c r="E802" s="2">
        <v>42767</v>
      </c>
      <c r="F802" s="17">
        <v>1148000</v>
      </c>
      <c r="G802" s="17">
        <v>26270.02</v>
      </c>
      <c r="H802" s="1"/>
      <c r="I802" s="1" t="s">
        <v>21</v>
      </c>
      <c r="J802" s="1" t="s">
        <v>22</v>
      </c>
      <c r="K802" s="1"/>
      <c r="L802" s="1" t="s">
        <v>295</v>
      </c>
      <c r="M802" s="1"/>
      <c r="N802" s="1" t="s">
        <v>194</v>
      </c>
      <c r="O802" s="31">
        <v>5</v>
      </c>
      <c r="P802" s="31">
        <v>1</v>
      </c>
      <c r="Q802" s="32">
        <v>2004</v>
      </c>
    </row>
    <row r="803" spans="1:17" x14ac:dyDescent="0.25">
      <c r="A803" s="1" t="s">
        <v>304</v>
      </c>
      <c r="B803" s="31">
        <v>47.2</v>
      </c>
      <c r="C803" s="1" t="s">
        <v>20</v>
      </c>
      <c r="D803" s="2">
        <v>42736</v>
      </c>
      <c r="E803" s="2">
        <v>42736</v>
      </c>
      <c r="F803" s="17">
        <v>1240000</v>
      </c>
      <c r="G803" s="17">
        <v>26271.19</v>
      </c>
      <c r="H803" s="1"/>
      <c r="I803" s="1" t="s">
        <v>21</v>
      </c>
      <c r="J803" s="1" t="s">
        <v>22</v>
      </c>
      <c r="K803" s="1"/>
      <c r="L803" s="1" t="s">
        <v>295</v>
      </c>
      <c r="M803" s="1"/>
      <c r="N803" s="1" t="s">
        <v>194</v>
      </c>
      <c r="O803" s="31">
        <v>10</v>
      </c>
      <c r="P803" s="31">
        <v>1</v>
      </c>
      <c r="Q803" s="32">
        <v>2009</v>
      </c>
    </row>
    <row r="804" spans="1:17" x14ac:dyDescent="0.25">
      <c r="A804" s="1" t="s">
        <v>300</v>
      </c>
      <c r="B804" s="31">
        <v>50.2</v>
      </c>
      <c r="C804" s="1" t="s">
        <v>20</v>
      </c>
      <c r="D804" s="2">
        <v>42675</v>
      </c>
      <c r="E804" s="2">
        <v>42705</v>
      </c>
      <c r="F804" s="17">
        <v>1320000</v>
      </c>
      <c r="G804" s="17">
        <v>26294.82</v>
      </c>
      <c r="H804" s="1"/>
      <c r="I804" s="1" t="s">
        <v>21</v>
      </c>
      <c r="J804" s="1" t="s">
        <v>32</v>
      </c>
      <c r="K804" s="1"/>
      <c r="L804" s="1" t="s">
        <v>295</v>
      </c>
      <c r="M804" s="1"/>
      <c r="N804" s="1"/>
      <c r="O804" s="31">
        <v>7</v>
      </c>
      <c r="P804" s="31">
        <v>1</v>
      </c>
      <c r="Q804" s="32">
        <v>2000</v>
      </c>
    </row>
    <row r="805" spans="1:17" x14ac:dyDescent="0.25">
      <c r="A805" s="1" t="s">
        <v>328</v>
      </c>
      <c r="B805" s="31">
        <v>45.5</v>
      </c>
      <c r="C805" s="1" t="s">
        <v>20</v>
      </c>
      <c r="D805" s="2">
        <v>42705</v>
      </c>
      <c r="E805" s="2">
        <v>42705</v>
      </c>
      <c r="F805" s="17">
        <v>1197000</v>
      </c>
      <c r="G805" s="17">
        <v>26307.69</v>
      </c>
      <c r="H805" s="1"/>
      <c r="I805" s="1" t="s">
        <v>21</v>
      </c>
      <c r="J805" s="1" t="s">
        <v>22</v>
      </c>
      <c r="K805" s="1"/>
      <c r="L805" s="1" t="s">
        <v>295</v>
      </c>
      <c r="M805" s="1"/>
      <c r="N805" s="1" t="s">
        <v>278</v>
      </c>
      <c r="O805" s="31">
        <v>3</v>
      </c>
      <c r="P805" s="31">
        <v>1</v>
      </c>
      <c r="Q805" s="32">
        <v>2016</v>
      </c>
    </row>
    <row r="806" spans="1:17" x14ac:dyDescent="0.25">
      <c r="A806" s="1" t="s">
        <v>300</v>
      </c>
      <c r="B806" s="31">
        <v>75.7</v>
      </c>
      <c r="C806" s="1" t="s">
        <v>20</v>
      </c>
      <c r="D806" s="2">
        <v>42736</v>
      </c>
      <c r="E806" s="2">
        <v>42767</v>
      </c>
      <c r="F806" s="17">
        <v>2000000</v>
      </c>
      <c r="G806" s="17">
        <v>26420.080000000002</v>
      </c>
      <c r="H806" s="1"/>
      <c r="I806" s="1" t="s">
        <v>21</v>
      </c>
      <c r="J806" s="1" t="s">
        <v>32</v>
      </c>
      <c r="K806" s="1"/>
      <c r="L806" s="1" t="s">
        <v>295</v>
      </c>
      <c r="M806" s="1"/>
      <c r="N806" s="1"/>
      <c r="O806" s="31">
        <v>5</v>
      </c>
      <c r="P806" s="31">
        <v>1</v>
      </c>
      <c r="Q806" s="32">
        <v>2002</v>
      </c>
    </row>
    <row r="807" spans="1:17" x14ac:dyDescent="0.25">
      <c r="A807" s="1" t="s">
        <v>318</v>
      </c>
      <c r="B807" s="31">
        <v>37.799999999999997</v>
      </c>
      <c r="C807" s="1" t="s">
        <v>20</v>
      </c>
      <c r="D807" s="2">
        <v>42705</v>
      </c>
      <c r="E807" s="2">
        <v>42705</v>
      </c>
      <c r="F807" s="17">
        <v>1000000</v>
      </c>
      <c r="G807" s="17">
        <v>26455.03</v>
      </c>
      <c r="H807" s="1"/>
      <c r="I807" s="1" t="s">
        <v>21</v>
      </c>
      <c r="J807" s="1" t="s">
        <v>22</v>
      </c>
      <c r="K807" s="1"/>
      <c r="L807" s="1" t="s">
        <v>295</v>
      </c>
      <c r="M807" s="1"/>
      <c r="N807" s="1" t="s">
        <v>297</v>
      </c>
      <c r="O807" s="31">
        <v>1</v>
      </c>
      <c r="P807" s="31">
        <v>1</v>
      </c>
      <c r="Q807" s="32">
        <v>2004</v>
      </c>
    </row>
    <row r="808" spans="1:17" x14ac:dyDescent="0.25">
      <c r="A808" s="1" t="s">
        <v>317</v>
      </c>
      <c r="B808" s="31">
        <v>33.9</v>
      </c>
      <c r="C808" s="1" t="s">
        <v>20</v>
      </c>
      <c r="D808" s="2">
        <v>42675</v>
      </c>
      <c r="E808" s="2">
        <v>42675</v>
      </c>
      <c r="F808" s="17">
        <v>900000</v>
      </c>
      <c r="G808" s="17">
        <v>26548.67</v>
      </c>
      <c r="H808" s="1"/>
      <c r="I808" s="1" t="s">
        <v>21</v>
      </c>
      <c r="J808" s="1" t="s">
        <v>22</v>
      </c>
      <c r="K808" s="1"/>
      <c r="L808" s="1" t="s">
        <v>295</v>
      </c>
      <c r="M808" s="1"/>
      <c r="N808" s="1" t="s">
        <v>194</v>
      </c>
      <c r="O808" s="31">
        <v>2</v>
      </c>
      <c r="P808" s="31">
        <v>2</v>
      </c>
      <c r="Q808" s="32">
        <v>2007</v>
      </c>
    </row>
    <row r="809" spans="1:17" x14ac:dyDescent="0.25">
      <c r="A809" s="1" t="s">
        <v>317</v>
      </c>
      <c r="B809" s="31">
        <v>33.9</v>
      </c>
      <c r="C809" s="1" t="s">
        <v>20</v>
      </c>
      <c r="D809" s="2">
        <v>42675</v>
      </c>
      <c r="E809" s="2">
        <v>42675</v>
      </c>
      <c r="F809" s="17">
        <v>900000</v>
      </c>
      <c r="G809" s="17">
        <v>26548.67</v>
      </c>
      <c r="H809" s="1"/>
      <c r="I809" s="1" t="s">
        <v>21</v>
      </c>
      <c r="J809" s="1" t="s">
        <v>22</v>
      </c>
      <c r="K809" s="1"/>
      <c r="L809" s="1" t="s">
        <v>295</v>
      </c>
      <c r="M809" s="1"/>
      <c r="N809" s="1" t="s">
        <v>194</v>
      </c>
      <c r="O809" s="31">
        <v>2</v>
      </c>
      <c r="P809" s="31">
        <v>2</v>
      </c>
      <c r="Q809" s="32">
        <v>2007</v>
      </c>
    </row>
    <row r="810" spans="1:17" x14ac:dyDescent="0.25">
      <c r="A810" s="1" t="s">
        <v>309</v>
      </c>
      <c r="B810" s="31">
        <v>41.4</v>
      </c>
      <c r="C810" s="1" t="s">
        <v>20</v>
      </c>
      <c r="D810" s="2">
        <v>42767</v>
      </c>
      <c r="E810" s="2">
        <v>42767</v>
      </c>
      <c r="F810" s="17">
        <v>1100000</v>
      </c>
      <c r="G810" s="17">
        <v>26570.05</v>
      </c>
      <c r="H810" s="1"/>
      <c r="I810" s="1" t="s">
        <v>21</v>
      </c>
      <c r="J810" s="1" t="s">
        <v>22</v>
      </c>
      <c r="K810" s="1"/>
      <c r="L810" s="1" t="s">
        <v>295</v>
      </c>
      <c r="M810" s="1"/>
      <c r="N810" s="1" t="s">
        <v>308</v>
      </c>
      <c r="O810" s="31">
        <v>5</v>
      </c>
      <c r="P810" s="31">
        <v>1</v>
      </c>
      <c r="Q810" s="32">
        <v>2007</v>
      </c>
    </row>
    <row r="811" spans="1:17" x14ac:dyDescent="0.25">
      <c r="A811" s="1" t="s">
        <v>326</v>
      </c>
      <c r="B811" s="31">
        <v>65.2</v>
      </c>
      <c r="C811" s="1" t="s">
        <v>20</v>
      </c>
      <c r="D811" s="2">
        <v>42705</v>
      </c>
      <c r="E811" s="2">
        <v>42705</v>
      </c>
      <c r="F811" s="17">
        <v>1750000</v>
      </c>
      <c r="G811" s="17">
        <v>26840.49</v>
      </c>
      <c r="H811" s="1"/>
      <c r="I811" s="1" t="s">
        <v>21</v>
      </c>
      <c r="J811" s="1" t="s">
        <v>22</v>
      </c>
      <c r="K811" s="1"/>
      <c r="L811" s="1" t="s">
        <v>295</v>
      </c>
      <c r="M811" s="1"/>
      <c r="N811" s="1"/>
      <c r="O811" s="31">
        <v>1</v>
      </c>
      <c r="P811" s="31">
        <v>1</v>
      </c>
      <c r="Q811" s="32">
        <v>2015</v>
      </c>
    </row>
    <row r="812" spans="1:17" x14ac:dyDescent="0.25">
      <c r="A812" s="1" t="s">
        <v>296</v>
      </c>
      <c r="B812" s="31">
        <v>37.200000000000003</v>
      </c>
      <c r="C812" s="1" t="s">
        <v>20</v>
      </c>
      <c r="D812" s="2">
        <v>42705</v>
      </c>
      <c r="E812" s="2">
        <v>42705</v>
      </c>
      <c r="F812" s="17">
        <v>1000000</v>
      </c>
      <c r="G812" s="17">
        <v>26881.72</v>
      </c>
      <c r="H812" s="1"/>
      <c r="I812" s="1" t="s">
        <v>21</v>
      </c>
      <c r="J812" s="1" t="s">
        <v>22</v>
      </c>
      <c r="K812" s="1"/>
      <c r="L812" s="1" t="s">
        <v>295</v>
      </c>
      <c r="M812" s="1"/>
      <c r="N812" s="1"/>
      <c r="O812" s="31">
        <v>3</v>
      </c>
      <c r="P812" s="31">
        <v>1</v>
      </c>
      <c r="Q812" s="32">
        <v>2004</v>
      </c>
    </row>
    <row r="813" spans="1:17" x14ac:dyDescent="0.25">
      <c r="A813" s="1" t="s">
        <v>309</v>
      </c>
      <c r="B813" s="31">
        <v>44.5</v>
      </c>
      <c r="C813" s="1" t="s">
        <v>20</v>
      </c>
      <c r="D813" s="2">
        <v>42767</v>
      </c>
      <c r="E813" s="2">
        <v>42795</v>
      </c>
      <c r="F813" s="17">
        <v>1200000</v>
      </c>
      <c r="G813" s="17">
        <v>26966.29</v>
      </c>
      <c r="H813" s="1"/>
      <c r="I813" s="1" t="s">
        <v>21</v>
      </c>
      <c r="J813" s="1" t="s">
        <v>22</v>
      </c>
      <c r="K813" s="1"/>
      <c r="L813" s="1" t="s">
        <v>295</v>
      </c>
      <c r="M813" s="1"/>
      <c r="N813" s="1" t="s">
        <v>323</v>
      </c>
      <c r="O813" s="31">
        <v>4</v>
      </c>
      <c r="P813" s="31">
        <v>1</v>
      </c>
      <c r="Q813" s="32">
        <v>2016</v>
      </c>
    </row>
    <row r="814" spans="1:17" x14ac:dyDescent="0.25">
      <c r="A814" s="1" t="s">
        <v>304</v>
      </c>
      <c r="B814" s="31">
        <v>59.3</v>
      </c>
      <c r="C814" s="1" t="s">
        <v>20</v>
      </c>
      <c r="D814" s="2">
        <v>42795</v>
      </c>
      <c r="E814" s="2">
        <v>42795</v>
      </c>
      <c r="F814" s="17">
        <v>1600000</v>
      </c>
      <c r="G814" s="17">
        <v>26981.45</v>
      </c>
      <c r="H814" s="1"/>
      <c r="I814" s="1" t="s">
        <v>21</v>
      </c>
      <c r="J814" s="1" t="s">
        <v>22</v>
      </c>
      <c r="K814" s="1"/>
      <c r="L814" s="1" t="s">
        <v>295</v>
      </c>
      <c r="M814" s="1"/>
      <c r="N814" s="1" t="s">
        <v>194</v>
      </c>
      <c r="O814" s="31">
        <v>5</v>
      </c>
      <c r="P814" s="31">
        <v>1</v>
      </c>
      <c r="Q814" s="32">
        <v>2009</v>
      </c>
    </row>
    <row r="815" spans="1:17" x14ac:dyDescent="0.25">
      <c r="A815" s="1" t="s">
        <v>322</v>
      </c>
      <c r="B815" s="31">
        <v>62.9</v>
      </c>
      <c r="C815" s="1" t="s">
        <v>20</v>
      </c>
      <c r="D815" s="2">
        <v>42767</v>
      </c>
      <c r="E815" s="2">
        <v>42767</v>
      </c>
      <c r="F815" s="17">
        <v>1700000</v>
      </c>
      <c r="G815" s="17">
        <v>27027.03</v>
      </c>
      <c r="H815" s="1"/>
      <c r="I815" s="1" t="s">
        <v>21</v>
      </c>
      <c r="J815" s="1" t="s">
        <v>22</v>
      </c>
      <c r="K815" s="1"/>
      <c r="L815" s="1" t="s">
        <v>295</v>
      </c>
      <c r="M815" s="1"/>
      <c r="N815" s="1" t="s">
        <v>323</v>
      </c>
      <c r="O815" s="31">
        <v>3</v>
      </c>
      <c r="P815" s="31">
        <v>1</v>
      </c>
      <c r="Q815" s="32">
        <v>2015</v>
      </c>
    </row>
    <row r="816" spans="1:17" x14ac:dyDescent="0.25">
      <c r="A816" s="1" t="s">
        <v>326</v>
      </c>
      <c r="B816" s="31">
        <v>92.5</v>
      </c>
      <c r="C816" s="1" t="s">
        <v>20</v>
      </c>
      <c r="D816" s="2">
        <v>42795</v>
      </c>
      <c r="E816" s="2">
        <v>42795</v>
      </c>
      <c r="F816" s="17">
        <v>2500000</v>
      </c>
      <c r="G816" s="17">
        <v>27027.03</v>
      </c>
      <c r="H816" s="1"/>
      <c r="I816" s="1" t="s">
        <v>21</v>
      </c>
      <c r="J816" s="1" t="s">
        <v>22</v>
      </c>
      <c r="K816" s="1"/>
      <c r="L816" s="1" t="s">
        <v>295</v>
      </c>
      <c r="M816" s="1"/>
      <c r="N816" s="1"/>
      <c r="O816" s="31">
        <v>1</v>
      </c>
      <c r="P816" s="31">
        <v>2</v>
      </c>
      <c r="Q816" s="32">
        <v>2015</v>
      </c>
    </row>
    <row r="817" spans="1:17" x14ac:dyDescent="0.25">
      <c r="A817" s="1" t="s">
        <v>312</v>
      </c>
      <c r="B817" s="31">
        <v>44.1</v>
      </c>
      <c r="C817" s="1" t="s">
        <v>20</v>
      </c>
      <c r="D817" s="2">
        <v>42675</v>
      </c>
      <c r="E817" s="2">
        <v>42705</v>
      </c>
      <c r="F817" s="17">
        <v>1200000</v>
      </c>
      <c r="G817" s="17">
        <v>27210.880000000001</v>
      </c>
      <c r="H817" s="1"/>
      <c r="I817" s="1" t="s">
        <v>21</v>
      </c>
      <c r="J817" s="1" t="s">
        <v>32</v>
      </c>
      <c r="K817" s="1"/>
      <c r="L817" s="1" t="s">
        <v>295</v>
      </c>
      <c r="M817" s="1"/>
      <c r="N817" s="1" t="s">
        <v>297</v>
      </c>
      <c r="O817" s="31">
        <v>5</v>
      </c>
      <c r="P817" s="31">
        <v>2</v>
      </c>
      <c r="Q817" s="32">
        <v>1999</v>
      </c>
    </row>
    <row r="818" spans="1:17" x14ac:dyDescent="0.25">
      <c r="A818" s="1" t="s">
        <v>312</v>
      </c>
      <c r="B818" s="31">
        <v>44.1</v>
      </c>
      <c r="C818" s="1" t="s">
        <v>20</v>
      </c>
      <c r="D818" s="2">
        <v>42675</v>
      </c>
      <c r="E818" s="2">
        <v>42705</v>
      </c>
      <c r="F818" s="17">
        <v>1200000</v>
      </c>
      <c r="G818" s="17">
        <v>27210.880000000001</v>
      </c>
      <c r="H818" s="1"/>
      <c r="I818" s="1" t="s">
        <v>21</v>
      </c>
      <c r="J818" s="1" t="s">
        <v>32</v>
      </c>
      <c r="K818" s="1"/>
      <c r="L818" s="1" t="s">
        <v>295</v>
      </c>
      <c r="M818" s="1"/>
      <c r="N818" s="1" t="s">
        <v>297</v>
      </c>
      <c r="O818" s="31">
        <v>5</v>
      </c>
      <c r="P818" s="31">
        <v>2</v>
      </c>
      <c r="Q818" s="32">
        <v>1999</v>
      </c>
    </row>
    <row r="819" spans="1:17" x14ac:dyDescent="0.25">
      <c r="A819" s="1" t="s">
        <v>320</v>
      </c>
      <c r="B819" s="31">
        <v>36.700000000000003</v>
      </c>
      <c r="C819" s="1" t="s">
        <v>20</v>
      </c>
      <c r="D819" s="2">
        <v>42767</v>
      </c>
      <c r="E819" s="2">
        <v>42767</v>
      </c>
      <c r="F819" s="17">
        <v>1000000</v>
      </c>
      <c r="G819" s="17">
        <v>27247.96</v>
      </c>
      <c r="H819" s="1"/>
      <c r="I819" s="1" t="s">
        <v>21</v>
      </c>
      <c r="J819" s="1" t="s">
        <v>32</v>
      </c>
      <c r="K819" s="1"/>
      <c r="L819" s="1" t="s">
        <v>295</v>
      </c>
      <c r="M819" s="1"/>
      <c r="N819" s="1" t="s">
        <v>311</v>
      </c>
      <c r="O819" s="31">
        <v>5</v>
      </c>
      <c r="P819" s="31">
        <v>1</v>
      </c>
      <c r="Q819" s="32">
        <v>2006</v>
      </c>
    </row>
    <row r="820" spans="1:17" x14ac:dyDescent="0.25">
      <c r="A820" s="1" t="s">
        <v>306</v>
      </c>
      <c r="B820" s="31">
        <v>45.8</v>
      </c>
      <c r="C820" s="1" t="s">
        <v>20</v>
      </c>
      <c r="D820" s="2">
        <v>42767</v>
      </c>
      <c r="E820" s="2">
        <v>42767</v>
      </c>
      <c r="F820" s="17">
        <v>1250000</v>
      </c>
      <c r="G820" s="17">
        <v>27292.58</v>
      </c>
      <c r="H820" s="1"/>
      <c r="I820" s="1" t="s">
        <v>21</v>
      </c>
      <c r="J820" s="1" t="s">
        <v>22</v>
      </c>
      <c r="K820" s="1"/>
      <c r="L820" s="1" t="s">
        <v>295</v>
      </c>
      <c r="M820" s="1"/>
      <c r="N820" s="1" t="s">
        <v>299</v>
      </c>
      <c r="O820" s="31">
        <v>1</v>
      </c>
      <c r="P820" s="31">
        <v>1</v>
      </c>
      <c r="Q820" s="32">
        <v>2017</v>
      </c>
    </row>
    <row r="821" spans="1:17" x14ac:dyDescent="0.25">
      <c r="A821" s="1" t="s">
        <v>319</v>
      </c>
      <c r="B821" s="31">
        <v>52.7</v>
      </c>
      <c r="C821" s="1" t="s">
        <v>20</v>
      </c>
      <c r="D821" s="2">
        <v>42705</v>
      </c>
      <c r="E821" s="2">
        <v>42705</v>
      </c>
      <c r="F821" s="17">
        <v>1440000</v>
      </c>
      <c r="G821" s="17">
        <v>27324.48</v>
      </c>
      <c r="H821" s="1"/>
      <c r="I821" s="1" t="s">
        <v>21</v>
      </c>
      <c r="J821" s="1" t="s">
        <v>22</v>
      </c>
      <c r="K821" s="1"/>
      <c r="L821" s="1" t="s">
        <v>295</v>
      </c>
      <c r="M821" s="1"/>
      <c r="N821" s="1" t="s">
        <v>126</v>
      </c>
      <c r="O821" s="31">
        <v>1</v>
      </c>
      <c r="P821" s="31">
        <v>1</v>
      </c>
      <c r="Q821" s="32">
        <v>2014</v>
      </c>
    </row>
    <row r="822" spans="1:17" x14ac:dyDescent="0.25">
      <c r="A822" s="1" t="s">
        <v>296</v>
      </c>
      <c r="B822" s="31">
        <v>51.2</v>
      </c>
      <c r="C822" s="1" t="s">
        <v>20</v>
      </c>
      <c r="D822" s="2">
        <v>42795</v>
      </c>
      <c r="E822" s="2">
        <v>42795</v>
      </c>
      <c r="F822" s="17">
        <v>1400000</v>
      </c>
      <c r="G822" s="17">
        <v>27343.75</v>
      </c>
      <c r="H822" s="1"/>
      <c r="I822" s="1" t="s">
        <v>21</v>
      </c>
      <c r="J822" s="1" t="s">
        <v>32</v>
      </c>
      <c r="K822" s="1"/>
      <c r="L822" s="1" t="s">
        <v>295</v>
      </c>
      <c r="M822" s="1"/>
      <c r="N822" s="1"/>
      <c r="O822" s="31">
        <v>4</v>
      </c>
      <c r="P822" s="31">
        <v>2</v>
      </c>
      <c r="Q822" s="32">
        <v>2002</v>
      </c>
    </row>
    <row r="823" spans="1:17" x14ac:dyDescent="0.25">
      <c r="A823" s="1" t="s">
        <v>326</v>
      </c>
      <c r="B823" s="31">
        <v>62.6</v>
      </c>
      <c r="C823" s="1" t="s">
        <v>20</v>
      </c>
      <c r="D823" s="2">
        <v>42705</v>
      </c>
      <c r="E823" s="2">
        <v>42705</v>
      </c>
      <c r="F823" s="17">
        <v>1712000</v>
      </c>
      <c r="G823" s="17">
        <v>27348.240000000002</v>
      </c>
      <c r="H823" s="1"/>
      <c r="I823" s="1" t="s">
        <v>21</v>
      </c>
      <c r="J823" s="1" t="s">
        <v>22</v>
      </c>
      <c r="K823" s="1"/>
      <c r="L823" s="1" t="s">
        <v>295</v>
      </c>
      <c r="M823" s="1"/>
      <c r="N823" s="1"/>
      <c r="O823" s="31">
        <v>1</v>
      </c>
      <c r="P823" s="31">
        <v>1</v>
      </c>
      <c r="Q823" s="32">
        <v>2015</v>
      </c>
    </row>
    <row r="824" spans="1:17" x14ac:dyDescent="0.25">
      <c r="A824" s="1" t="s">
        <v>296</v>
      </c>
      <c r="B824" s="31">
        <v>89.9</v>
      </c>
      <c r="C824" s="1" t="s">
        <v>20</v>
      </c>
      <c r="D824" s="2">
        <v>42705</v>
      </c>
      <c r="E824" s="2">
        <v>42705</v>
      </c>
      <c r="F824" s="17">
        <v>2460000</v>
      </c>
      <c r="G824" s="17">
        <v>27363.74</v>
      </c>
      <c r="H824" s="1"/>
      <c r="I824" s="1" t="s">
        <v>21</v>
      </c>
      <c r="J824" s="1" t="s">
        <v>32</v>
      </c>
      <c r="K824" s="1"/>
      <c r="L824" s="1" t="s">
        <v>295</v>
      </c>
      <c r="M824" s="1"/>
      <c r="N824" s="1"/>
      <c r="O824" s="31">
        <v>2</v>
      </c>
      <c r="P824" s="31">
        <v>1</v>
      </c>
      <c r="Q824" s="32">
        <v>2002</v>
      </c>
    </row>
    <row r="825" spans="1:17" x14ac:dyDescent="0.25">
      <c r="A825" s="1" t="s">
        <v>322</v>
      </c>
      <c r="B825" s="31">
        <v>68.3</v>
      </c>
      <c r="C825" s="1" t="s">
        <v>20</v>
      </c>
      <c r="D825" s="2">
        <v>42644</v>
      </c>
      <c r="E825" s="2">
        <v>42644</v>
      </c>
      <c r="F825" s="17">
        <v>1870000</v>
      </c>
      <c r="G825" s="17">
        <v>27379.21</v>
      </c>
      <c r="H825" s="1"/>
      <c r="I825" s="1" t="s">
        <v>21</v>
      </c>
      <c r="J825" s="1" t="s">
        <v>22</v>
      </c>
      <c r="K825" s="1"/>
      <c r="L825" s="1" t="s">
        <v>295</v>
      </c>
      <c r="M825" s="1"/>
      <c r="N825" s="1" t="s">
        <v>323</v>
      </c>
      <c r="O825" s="31"/>
      <c r="P825" s="31">
        <v>1</v>
      </c>
      <c r="Q825" s="32">
        <v>2015</v>
      </c>
    </row>
    <row r="826" spans="1:17" x14ac:dyDescent="0.25">
      <c r="A826" s="1" t="s">
        <v>306</v>
      </c>
      <c r="B826" s="31">
        <v>47.1</v>
      </c>
      <c r="C826" s="1" t="s">
        <v>20</v>
      </c>
      <c r="D826" s="2">
        <v>42767</v>
      </c>
      <c r="E826" s="2">
        <v>42795</v>
      </c>
      <c r="F826" s="17">
        <v>1290000</v>
      </c>
      <c r="G826" s="17">
        <v>27388.54</v>
      </c>
      <c r="H826" s="1"/>
      <c r="I826" s="1" t="s">
        <v>21</v>
      </c>
      <c r="J826" s="1" t="s">
        <v>22</v>
      </c>
      <c r="K826" s="1"/>
      <c r="L826" s="1" t="s">
        <v>295</v>
      </c>
      <c r="M826" s="1"/>
      <c r="N826" s="1" t="s">
        <v>194</v>
      </c>
      <c r="O826" s="31">
        <v>2</v>
      </c>
      <c r="P826" s="31">
        <v>1</v>
      </c>
      <c r="Q826" s="32">
        <v>2017</v>
      </c>
    </row>
    <row r="827" spans="1:17" x14ac:dyDescent="0.25">
      <c r="A827" s="1" t="s">
        <v>315</v>
      </c>
      <c r="B827" s="31">
        <v>32.1</v>
      </c>
      <c r="C827" s="1" t="s">
        <v>20</v>
      </c>
      <c r="D827" s="2">
        <v>42644</v>
      </c>
      <c r="E827" s="2">
        <v>42644</v>
      </c>
      <c r="F827" s="17">
        <v>880000</v>
      </c>
      <c r="G827" s="17">
        <v>27414.33</v>
      </c>
      <c r="H827" s="1"/>
      <c r="I827" s="1" t="s">
        <v>21</v>
      </c>
      <c r="J827" s="1" t="s">
        <v>22</v>
      </c>
      <c r="K827" s="1"/>
      <c r="L827" s="1" t="s">
        <v>295</v>
      </c>
      <c r="M827" s="1"/>
      <c r="N827" s="1" t="s">
        <v>194</v>
      </c>
      <c r="O827" s="31">
        <v>3</v>
      </c>
      <c r="P827" s="31">
        <v>1</v>
      </c>
      <c r="Q827" s="32">
        <v>2004</v>
      </c>
    </row>
    <row r="828" spans="1:17" x14ac:dyDescent="0.25">
      <c r="A828" s="1" t="s">
        <v>303</v>
      </c>
      <c r="B828" s="31">
        <v>30.6</v>
      </c>
      <c r="C828" s="1" t="s">
        <v>20</v>
      </c>
      <c r="D828" s="2">
        <v>42614</v>
      </c>
      <c r="E828" s="2">
        <v>42644</v>
      </c>
      <c r="F828" s="17">
        <v>840000</v>
      </c>
      <c r="G828" s="17">
        <v>27450.98</v>
      </c>
      <c r="H828" s="1"/>
      <c r="I828" s="1" t="s">
        <v>21</v>
      </c>
      <c r="J828" s="1" t="s">
        <v>22</v>
      </c>
      <c r="K828" s="1"/>
      <c r="L828" s="1" t="s">
        <v>295</v>
      </c>
      <c r="M828" s="1"/>
      <c r="N828" s="1" t="s">
        <v>75</v>
      </c>
      <c r="O828" s="31">
        <v>3</v>
      </c>
      <c r="P828" s="31">
        <v>2</v>
      </c>
      <c r="Q828" s="32">
        <v>2006</v>
      </c>
    </row>
    <row r="829" spans="1:17" x14ac:dyDescent="0.25">
      <c r="A829" s="1" t="s">
        <v>303</v>
      </c>
      <c r="B829" s="31">
        <v>30.6</v>
      </c>
      <c r="C829" s="1" t="s">
        <v>20</v>
      </c>
      <c r="D829" s="2">
        <v>42614</v>
      </c>
      <c r="E829" s="2">
        <v>42644</v>
      </c>
      <c r="F829" s="17">
        <v>840000</v>
      </c>
      <c r="G829" s="17">
        <v>27450.98</v>
      </c>
      <c r="H829" s="1"/>
      <c r="I829" s="1" t="s">
        <v>21</v>
      </c>
      <c r="J829" s="1" t="s">
        <v>22</v>
      </c>
      <c r="K829" s="1"/>
      <c r="L829" s="1" t="s">
        <v>295</v>
      </c>
      <c r="M829" s="1"/>
      <c r="N829" s="1" t="s">
        <v>75</v>
      </c>
      <c r="O829" s="31">
        <v>3</v>
      </c>
      <c r="P829" s="31">
        <v>2</v>
      </c>
      <c r="Q829" s="32">
        <v>2006</v>
      </c>
    </row>
    <row r="830" spans="1:17" x14ac:dyDescent="0.25">
      <c r="A830" s="1" t="s">
        <v>315</v>
      </c>
      <c r="B830" s="31">
        <v>39.299999999999997</v>
      </c>
      <c r="C830" s="1" t="s">
        <v>20</v>
      </c>
      <c r="D830" s="2">
        <v>42767</v>
      </c>
      <c r="E830" s="2">
        <v>42767</v>
      </c>
      <c r="F830" s="17">
        <v>1080000</v>
      </c>
      <c r="G830" s="17">
        <v>27480.92</v>
      </c>
      <c r="H830" s="1"/>
      <c r="I830" s="1" t="s">
        <v>21</v>
      </c>
      <c r="J830" s="1" t="s">
        <v>22</v>
      </c>
      <c r="K830" s="1"/>
      <c r="L830" s="1" t="s">
        <v>295</v>
      </c>
      <c r="M830" s="1"/>
      <c r="N830" s="1" t="s">
        <v>299</v>
      </c>
      <c r="O830" s="31">
        <v>5</v>
      </c>
      <c r="P830" s="31">
        <v>1</v>
      </c>
      <c r="Q830" s="32">
        <v>2001</v>
      </c>
    </row>
    <row r="831" spans="1:17" x14ac:dyDescent="0.25">
      <c r="A831" s="1" t="s">
        <v>332</v>
      </c>
      <c r="B831" s="31">
        <v>32</v>
      </c>
      <c r="C831" s="1" t="s">
        <v>20</v>
      </c>
      <c r="D831" s="2">
        <v>42736</v>
      </c>
      <c r="E831" s="2">
        <v>42736</v>
      </c>
      <c r="F831" s="17">
        <v>880000</v>
      </c>
      <c r="G831" s="17">
        <v>27500</v>
      </c>
      <c r="H831" s="1"/>
      <c r="I831" s="1" t="s">
        <v>21</v>
      </c>
      <c r="J831" s="1" t="s">
        <v>22</v>
      </c>
      <c r="K831" s="1"/>
      <c r="L831" s="1" t="s">
        <v>295</v>
      </c>
      <c r="M831" s="1"/>
      <c r="N831" s="1" t="s">
        <v>334</v>
      </c>
      <c r="O831" s="31">
        <v>1</v>
      </c>
      <c r="P831" s="31">
        <v>2</v>
      </c>
      <c r="Q831" s="32">
        <v>2008</v>
      </c>
    </row>
    <row r="832" spans="1:17" x14ac:dyDescent="0.25">
      <c r="A832" s="1" t="s">
        <v>332</v>
      </c>
      <c r="B832" s="31">
        <v>32</v>
      </c>
      <c r="C832" s="1" t="s">
        <v>20</v>
      </c>
      <c r="D832" s="2">
        <v>42736</v>
      </c>
      <c r="E832" s="2">
        <v>42736</v>
      </c>
      <c r="F832" s="17">
        <v>880000</v>
      </c>
      <c r="G832" s="17">
        <v>27500</v>
      </c>
      <c r="H832" s="1"/>
      <c r="I832" s="1" t="s">
        <v>21</v>
      </c>
      <c r="J832" s="1" t="s">
        <v>22</v>
      </c>
      <c r="K832" s="1"/>
      <c r="L832" s="1" t="s">
        <v>295</v>
      </c>
      <c r="M832" s="1"/>
      <c r="N832" s="1" t="s">
        <v>334</v>
      </c>
      <c r="O832" s="31">
        <v>1</v>
      </c>
      <c r="P832" s="31">
        <v>2</v>
      </c>
      <c r="Q832" s="32">
        <v>2008</v>
      </c>
    </row>
    <row r="833" spans="1:17" x14ac:dyDescent="0.25">
      <c r="A833" s="1" t="s">
        <v>301</v>
      </c>
      <c r="B833" s="31">
        <v>86.5</v>
      </c>
      <c r="C833" s="1" t="s">
        <v>20</v>
      </c>
      <c r="D833" s="2">
        <v>42614</v>
      </c>
      <c r="E833" s="2">
        <v>42644</v>
      </c>
      <c r="F833" s="17">
        <v>2380000</v>
      </c>
      <c r="G833" s="17">
        <v>27514.45</v>
      </c>
      <c r="H833" s="1"/>
      <c r="I833" s="1" t="s">
        <v>21</v>
      </c>
      <c r="J833" s="1" t="s">
        <v>22</v>
      </c>
      <c r="K833" s="1"/>
      <c r="L833" s="1" t="s">
        <v>295</v>
      </c>
      <c r="M833" s="1"/>
      <c r="N833" s="1" t="s">
        <v>302</v>
      </c>
      <c r="O833" s="31">
        <v>2</v>
      </c>
      <c r="P833" s="31">
        <v>2</v>
      </c>
      <c r="Q833" s="32">
        <v>2002</v>
      </c>
    </row>
    <row r="834" spans="1:17" x14ac:dyDescent="0.25">
      <c r="A834" s="1" t="s">
        <v>301</v>
      </c>
      <c r="B834" s="31">
        <v>86.5</v>
      </c>
      <c r="C834" s="1" t="s">
        <v>20</v>
      </c>
      <c r="D834" s="2">
        <v>42614</v>
      </c>
      <c r="E834" s="2">
        <v>42644</v>
      </c>
      <c r="F834" s="17">
        <v>2380000</v>
      </c>
      <c r="G834" s="17">
        <v>27514.45</v>
      </c>
      <c r="H834" s="1"/>
      <c r="I834" s="1" t="s">
        <v>21</v>
      </c>
      <c r="J834" s="1" t="s">
        <v>22</v>
      </c>
      <c r="K834" s="1"/>
      <c r="L834" s="1" t="s">
        <v>295</v>
      </c>
      <c r="M834" s="1"/>
      <c r="N834" s="1" t="s">
        <v>302</v>
      </c>
      <c r="O834" s="31">
        <v>2</v>
      </c>
      <c r="P834" s="31">
        <v>2</v>
      </c>
      <c r="Q834" s="32">
        <v>2002</v>
      </c>
    </row>
    <row r="835" spans="1:17" x14ac:dyDescent="0.25">
      <c r="A835" s="1" t="s">
        <v>319</v>
      </c>
      <c r="B835" s="31">
        <v>68.3</v>
      </c>
      <c r="C835" s="1" t="s">
        <v>20</v>
      </c>
      <c r="D835" s="2">
        <v>42675</v>
      </c>
      <c r="E835" s="2">
        <v>42675</v>
      </c>
      <c r="F835" s="17">
        <v>1880800</v>
      </c>
      <c r="G835" s="17">
        <v>27537.34</v>
      </c>
      <c r="H835" s="1"/>
      <c r="I835" s="1" t="s">
        <v>21</v>
      </c>
      <c r="J835" s="1" t="s">
        <v>22</v>
      </c>
      <c r="K835" s="1"/>
      <c r="L835" s="1" t="s">
        <v>295</v>
      </c>
      <c r="M835" s="1"/>
      <c r="N835" s="1" t="s">
        <v>311</v>
      </c>
      <c r="O835" s="31">
        <v>1</v>
      </c>
      <c r="P835" s="31">
        <v>1</v>
      </c>
      <c r="Q835" s="32">
        <v>2016</v>
      </c>
    </row>
    <row r="836" spans="1:17" x14ac:dyDescent="0.25">
      <c r="A836" s="1" t="s">
        <v>300</v>
      </c>
      <c r="B836" s="31">
        <v>36.299999999999997</v>
      </c>
      <c r="C836" s="1" t="s">
        <v>20</v>
      </c>
      <c r="D836" s="2">
        <v>42767</v>
      </c>
      <c r="E836" s="2">
        <v>42795</v>
      </c>
      <c r="F836" s="17">
        <v>1000000</v>
      </c>
      <c r="G836" s="17">
        <v>27548.21</v>
      </c>
      <c r="H836" s="1"/>
      <c r="I836" s="1" t="s">
        <v>21</v>
      </c>
      <c r="J836" s="1" t="s">
        <v>22</v>
      </c>
      <c r="K836" s="1"/>
      <c r="L836" s="1" t="s">
        <v>295</v>
      </c>
      <c r="M836" s="1"/>
      <c r="N836" s="1"/>
      <c r="O836" s="31">
        <v>3</v>
      </c>
      <c r="P836" s="31">
        <v>1</v>
      </c>
      <c r="Q836" s="32">
        <v>2006</v>
      </c>
    </row>
    <row r="837" spans="1:17" x14ac:dyDescent="0.25">
      <c r="A837" s="1" t="s">
        <v>304</v>
      </c>
      <c r="B837" s="31">
        <v>58.5</v>
      </c>
      <c r="C837" s="1" t="s">
        <v>20</v>
      </c>
      <c r="D837" s="2">
        <v>42767</v>
      </c>
      <c r="E837" s="2">
        <v>42767</v>
      </c>
      <c r="F837" s="17">
        <v>1615000</v>
      </c>
      <c r="G837" s="17">
        <v>27606.84</v>
      </c>
      <c r="H837" s="1"/>
      <c r="I837" s="1" t="s">
        <v>21</v>
      </c>
      <c r="J837" s="1" t="s">
        <v>22</v>
      </c>
      <c r="K837" s="1"/>
      <c r="L837" s="1" t="s">
        <v>295</v>
      </c>
      <c r="M837" s="1"/>
      <c r="N837" s="1" t="s">
        <v>308</v>
      </c>
      <c r="O837" s="31">
        <v>8</v>
      </c>
      <c r="P837" s="31">
        <v>1</v>
      </c>
      <c r="Q837" s="32">
        <v>2009</v>
      </c>
    </row>
    <row r="838" spans="1:17" x14ac:dyDescent="0.25">
      <c r="A838" s="1" t="s">
        <v>326</v>
      </c>
      <c r="B838" s="31">
        <v>61.4</v>
      </c>
      <c r="C838" s="1" t="s">
        <v>20</v>
      </c>
      <c r="D838" s="2">
        <v>42736</v>
      </c>
      <c r="E838" s="2">
        <v>42736</v>
      </c>
      <c r="F838" s="17">
        <v>1700000</v>
      </c>
      <c r="G838" s="17">
        <v>27687.3</v>
      </c>
      <c r="H838" s="1"/>
      <c r="I838" s="1" t="s">
        <v>21</v>
      </c>
      <c r="J838" s="1" t="s">
        <v>22</v>
      </c>
      <c r="K838" s="1"/>
      <c r="L838" s="1" t="s">
        <v>295</v>
      </c>
      <c r="M838" s="1"/>
      <c r="N838" s="1" t="s">
        <v>335</v>
      </c>
      <c r="O838" s="31">
        <v>1</v>
      </c>
      <c r="P838" s="31">
        <v>1</v>
      </c>
      <c r="Q838" s="32">
        <v>2017</v>
      </c>
    </row>
    <row r="839" spans="1:17" x14ac:dyDescent="0.25">
      <c r="A839" s="1" t="s">
        <v>300</v>
      </c>
      <c r="B839" s="31">
        <v>36.5</v>
      </c>
      <c r="C839" s="1" t="s">
        <v>20</v>
      </c>
      <c r="D839" s="2">
        <v>42767</v>
      </c>
      <c r="E839" s="2">
        <v>42767</v>
      </c>
      <c r="F839" s="17">
        <v>1013026</v>
      </c>
      <c r="G839" s="17">
        <v>27754.14</v>
      </c>
      <c r="H839" s="1"/>
      <c r="I839" s="1" t="s">
        <v>21</v>
      </c>
      <c r="J839" s="1" t="s">
        <v>22</v>
      </c>
      <c r="K839" s="1"/>
      <c r="L839" s="1" t="s">
        <v>295</v>
      </c>
      <c r="M839" s="1"/>
      <c r="N839" s="1" t="s">
        <v>299</v>
      </c>
      <c r="O839" s="31">
        <v>4</v>
      </c>
      <c r="P839" s="31">
        <v>1</v>
      </c>
      <c r="Q839" s="32">
        <v>2003</v>
      </c>
    </row>
    <row r="840" spans="1:17" x14ac:dyDescent="0.25">
      <c r="A840" s="1" t="s">
        <v>326</v>
      </c>
      <c r="B840" s="31">
        <v>52.5</v>
      </c>
      <c r="C840" s="1" t="s">
        <v>20</v>
      </c>
      <c r="D840" s="2">
        <v>42705</v>
      </c>
      <c r="E840" s="2">
        <v>42705</v>
      </c>
      <c r="F840" s="17">
        <v>1460000</v>
      </c>
      <c r="G840" s="17">
        <v>27809.52</v>
      </c>
      <c r="H840" s="1"/>
      <c r="I840" s="1" t="s">
        <v>21</v>
      </c>
      <c r="J840" s="1" t="s">
        <v>22</v>
      </c>
      <c r="K840" s="1"/>
      <c r="L840" s="1" t="s">
        <v>295</v>
      </c>
      <c r="M840" s="1"/>
      <c r="N840" s="1" t="s">
        <v>329</v>
      </c>
      <c r="O840" s="31">
        <v>1</v>
      </c>
      <c r="P840" s="31">
        <v>2</v>
      </c>
      <c r="Q840" s="32">
        <v>2016</v>
      </c>
    </row>
    <row r="841" spans="1:17" x14ac:dyDescent="0.25">
      <c r="A841" s="1" t="s">
        <v>326</v>
      </c>
      <c r="B841" s="31">
        <v>52.5</v>
      </c>
      <c r="C841" s="1" t="s">
        <v>20</v>
      </c>
      <c r="D841" s="2">
        <v>42705</v>
      </c>
      <c r="E841" s="2">
        <v>42705</v>
      </c>
      <c r="F841" s="17">
        <v>1460000</v>
      </c>
      <c r="G841" s="17">
        <v>27809.52</v>
      </c>
      <c r="H841" s="1"/>
      <c r="I841" s="1" t="s">
        <v>21</v>
      </c>
      <c r="J841" s="1" t="s">
        <v>22</v>
      </c>
      <c r="K841" s="1"/>
      <c r="L841" s="1" t="s">
        <v>295</v>
      </c>
      <c r="M841" s="1"/>
      <c r="N841" s="1" t="s">
        <v>329</v>
      </c>
      <c r="O841" s="31">
        <v>1</v>
      </c>
      <c r="P841" s="31">
        <v>2</v>
      </c>
      <c r="Q841" s="32">
        <v>2016</v>
      </c>
    </row>
    <row r="842" spans="1:17" x14ac:dyDescent="0.25">
      <c r="A842" s="1" t="s">
        <v>306</v>
      </c>
      <c r="B842" s="31">
        <v>43</v>
      </c>
      <c r="C842" s="1" t="s">
        <v>20</v>
      </c>
      <c r="D842" s="2">
        <v>42795</v>
      </c>
      <c r="E842" s="2">
        <v>42795</v>
      </c>
      <c r="F842" s="17">
        <v>1200000</v>
      </c>
      <c r="G842" s="17">
        <v>27906.98</v>
      </c>
      <c r="H842" s="1"/>
      <c r="I842" s="1" t="s">
        <v>21</v>
      </c>
      <c r="J842" s="1" t="s">
        <v>22</v>
      </c>
      <c r="K842" s="1"/>
      <c r="L842" s="1" t="s">
        <v>295</v>
      </c>
      <c r="M842" s="1"/>
      <c r="N842" s="1" t="s">
        <v>299</v>
      </c>
      <c r="O842" s="31">
        <v>3</v>
      </c>
      <c r="P842" s="31">
        <v>1</v>
      </c>
      <c r="Q842" s="32">
        <v>2010</v>
      </c>
    </row>
    <row r="843" spans="1:17" x14ac:dyDescent="0.25">
      <c r="A843" s="1" t="s">
        <v>312</v>
      </c>
      <c r="B843" s="31">
        <v>31.4</v>
      </c>
      <c r="C843" s="1" t="s">
        <v>20</v>
      </c>
      <c r="D843" s="2">
        <v>42675</v>
      </c>
      <c r="E843" s="2">
        <v>42705</v>
      </c>
      <c r="F843" s="17">
        <v>877500</v>
      </c>
      <c r="G843" s="17">
        <v>27945.86</v>
      </c>
      <c r="H843" s="1"/>
      <c r="I843" s="1" t="s">
        <v>21</v>
      </c>
      <c r="J843" s="1" t="s">
        <v>22</v>
      </c>
      <c r="K843" s="1"/>
      <c r="L843" s="1" t="s">
        <v>295</v>
      </c>
      <c r="M843" s="1"/>
      <c r="N843" s="1" t="s">
        <v>297</v>
      </c>
      <c r="O843" s="31">
        <v>1</v>
      </c>
      <c r="P843" s="31">
        <v>1</v>
      </c>
      <c r="Q843" s="32">
        <v>2008</v>
      </c>
    </row>
    <row r="844" spans="1:17" x14ac:dyDescent="0.25">
      <c r="A844" s="1" t="s">
        <v>303</v>
      </c>
      <c r="B844" s="31">
        <v>42.8</v>
      </c>
      <c r="C844" s="1" t="s">
        <v>20</v>
      </c>
      <c r="D844" s="2">
        <v>42767</v>
      </c>
      <c r="E844" s="2">
        <v>42767</v>
      </c>
      <c r="F844" s="17">
        <v>1200000</v>
      </c>
      <c r="G844" s="17">
        <v>28037.38</v>
      </c>
      <c r="H844" s="1"/>
      <c r="I844" s="1" t="s">
        <v>21</v>
      </c>
      <c r="J844" s="1" t="s">
        <v>22</v>
      </c>
      <c r="K844" s="1"/>
      <c r="L844" s="1" t="s">
        <v>295</v>
      </c>
      <c r="M844" s="1"/>
      <c r="N844" s="1" t="s">
        <v>126</v>
      </c>
      <c r="O844" s="31">
        <v>3</v>
      </c>
      <c r="P844" s="31">
        <v>1</v>
      </c>
      <c r="Q844" s="32">
        <v>2005</v>
      </c>
    </row>
    <row r="845" spans="1:17" x14ac:dyDescent="0.25">
      <c r="A845" s="1" t="s">
        <v>313</v>
      </c>
      <c r="B845" s="31">
        <v>36.299999999999997</v>
      </c>
      <c r="C845" s="1" t="s">
        <v>20</v>
      </c>
      <c r="D845" s="2">
        <v>42644</v>
      </c>
      <c r="E845" s="2">
        <v>42644</v>
      </c>
      <c r="F845" s="17">
        <v>1020000</v>
      </c>
      <c r="G845" s="17">
        <v>28099.17</v>
      </c>
      <c r="H845" s="1"/>
      <c r="I845" s="1" t="s">
        <v>21</v>
      </c>
      <c r="J845" s="1" t="s">
        <v>22</v>
      </c>
      <c r="K845" s="1"/>
      <c r="L845" s="1" t="s">
        <v>295</v>
      </c>
      <c r="M845" s="1"/>
      <c r="N845" s="1"/>
      <c r="O845" s="31">
        <v>3</v>
      </c>
      <c r="P845" s="31">
        <v>1</v>
      </c>
      <c r="Q845" s="32">
        <v>2008</v>
      </c>
    </row>
    <row r="846" spans="1:17" x14ac:dyDescent="0.25">
      <c r="A846" s="1" t="s">
        <v>326</v>
      </c>
      <c r="B846" s="31">
        <v>41.2</v>
      </c>
      <c r="C846" s="1" t="s">
        <v>20</v>
      </c>
      <c r="D846" s="2">
        <v>42705</v>
      </c>
      <c r="E846" s="2">
        <v>42705</v>
      </c>
      <c r="F846" s="17">
        <v>1160000</v>
      </c>
      <c r="G846" s="17">
        <v>28155.34</v>
      </c>
      <c r="H846" s="1"/>
      <c r="I846" s="1" t="s">
        <v>21</v>
      </c>
      <c r="J846" s="1" t="s">
        <v>22</v>
      </c>
      <c r="K846" s="1"/>
      <c r="L846" s="1" t="s">
        <v>295</v>
      </c>
      <c r="M846" s="1"/>
      <c r="N846" s="1"/>
      <c r="O846" s="31">
        <v>3</v>
      </c>
      <c r="P846" s="31">
        <v>1</v>
      </c>
      <c r="Q846" s="32">
        <v>2015</v>
      </c>
    </row>
    <row r="847" spans="1:17" x14ac:dyDescent="0.25">
      <c r="A847" s="1" t="s">
        <v>309</v>
      </c>
      <c r="B847" s="31">
        <v>88.7</v>
      </c>
      <c r="C847" s="1" t="s">
        <v>20</v>
      </c>
      <c r="D847" s="2">
        <v>42767</v>
      </c>
      <c r="E847" s="2">
        <v>42767</v>
      </c>
      <c r="F847" s="17">
        <v>2500000</v>
      </c>
      <c r="G847" s="17">
        <v>28184.89</v>
      </c>
      <c r="H847" s="1"/>
      <c r="I847" s="1" t="s">
        <v>21</v>
      </c>
      <c r="J847" s="1" t="s">
        <v>22</v>
      </c>
      <c r="K847" s="1"/>
      <c r="L847" s="1" t="s">
        <v>295</v>
      </c>
      <c r="M847" s="1"/>
      <c r="N847" s="1" t="s">
        <v>308</v>
      </c>
      <c r="O847" s="31">
        <v>4</v>
      </c>
      <c r="P847" s="31">
        <v>2</v>
      </c>
      <c r="Q847" s="32">
        <v>2011</v>
      </c>
    </row>
    <row r="848" spans="1:17" x14ac:dyDescent="0.25">
      <c r="A848" s="1" t="s">
        <v>309</v>
      </c>
      <c r="B848" s="31">
        <v>88.7</v>
      </c>
      <c r="C848" s="1" t="s">
        <v>20</v>
      </c>
      <c r="D848" s="2">
        <v>42767</v>
      </c>
      <c r="E848" s="2">
        <v>42767</v>
      </c>
      <c r="F848" s="17">
        <v>2500000</v>
      </c>
      <c r="G848" s="17">
        <v>28184.89</v>
      </c>
      <c r="H848" s="1"/>
      <c r="I848" s="1" t="s">
        <v>21</v>
      </c>
      <c r="J848" s="1" t="s">
        <v>22</v>
      </c>
      <c r="K848" s="1"/>
      <c r="L848" s="1" t="s">
        <v>295</v>
      </c>
      <c r="M848" s="1"/>
      <c r="N848" s="1" t="s">
        <v>308</v>
      </c>
      <c r="O848" s="31">
        <v>4</v>
      </c>
      <c r="P848" s="31">
        <v>2</v>
      </c>
      <c r="Q848" s="32">
        <v>2011</v>
      </c>
    </row>
    <row r="849" spans="1:17" x14ac:dyDescent="0.25">
      <c r="A849" s="1" t="s">
        <v>315</v>
      </c>
      <c r="B849" s="31">
        <v>45.4</v>
      </c>
      <c r="C849" s="1" t="s">
        <v>20</v>
      </c>
      <c r="D849" s="2">
        <v>42767</v>
      </c>
      <c r="E849" s="2">
        <v>42767</v>
      </c>
      <c r="F849" s="17">
        <v>1280000</v>
      </c>
      <c r="G849" s="17">
        <v>28193.83</v>
      </c>
      <c r="H849" s="1"/>
      <c r="I849" s="1" t="s">
        <v>21</v>
      </c>
      <c r="J849" s="1" t="s">
        <v>22</v>
      </c>
      <c r="K849" s="1"/>
      <c r="L849" s="1" t="s">
        <v>295</v>
      </c>
      <c r="M849" s="1"/>
      <c r="N849" s="1" t="s">
        <v>194</v>
      </c>
      <c r="O849" s="31">
        <v>5</v>
      </c>
      <c r="P849" s="31">
        <v>1</v>
      </c>
      <c r="Q849" s="32">
        <v>2000</v>
      </c>
    </row>
    <row r="850" spans="1:17" x14ac:dyDescent="0.25">
      <c r="A850" s="1" t="s">
        <v>315</v>
      </c>
      <c r="B850" s="31">
        <v>45.3</v>
      </c>
      <c r="C850" s="1" t="s">
        <v>20</v>
      </c>
      <c r="D850" s="2">
        <v>42675</v>
      </c>
      <c r="E850" s="2">
        <v>42675</v>
      </c>
      <c r="F850" s="17">
        <v>1280000</v>
      </c>
      <c r="G850" s="17">
        <v>28256.07</v>
      </c>
      <c r="H850" s="1"/>
      <c r="I850" s="1" t="s">
        <v>21</v>
      </c>
      <c r="J850" s="1" t="s">
        <v>22</v>
      </c>
      <c r="K850" s="1"/>
      <c r="L850" s="1" t="s">
        <v>295</v>
      </c>
      <c r="M850" s="1"/>
      <c r="N850" s="1" t="s">
        <v>299</v>
      </c>
      <c r="O850" s="31">
        <v>2</v>
      </c>
      <c r="P850" s="31">
        <v>1</v>
      </c>
      <c r="Q850" s="32">
        <v>2013</v>
      </c>
    </row>
    <row r="851" spans="1:17" x14ac:dyDescent="0.25">
      <c r="A851" s="1" t="s">
        <v>306</v>
      </c>
      <c r="B851" s="31">
        <v>44.9</v>
      </c>
      <c r="C851" s="1" t="s">
        <v>20</v>
      </c>
      <c r="D851" s="2">
        <v>42767</v>
      </c>
      <c r="E851" s="2">
        <v>42767</v>
      </c>
      <c r="F851" s="17">
        <v>1270000</v>
      </c>
      <c r="G851" s="17">
        <v>28285.08</v>
      </c>
      <c r="H851" s="1"/>
      <c r="I851" s="1" t="s">
        <v>21</v>
      </c>
      <c r="J851" s="1" t="s">
        <v>32</v>
      </c>
      <c r="K851" s="1"/>
      <c r="L851" s="1" t="s">
        <v>295</v>
      </c>
      <c r="M851" s="1"/>
      <c r="N851" s="1" t="s">
        <v>128</v>
      </c>
      <c r="O851" s="31">
        <v>7</v>
      </c>
      <c r="P851" s="31">
        <v>1</v>
      </c>
      <c r="Q851" s="32">
        <v>2002</v>
      </c>
    </row>
    <row r="852" spans="1:17" x14ac:dyDescent="0.25">
      <c r="A852" s="1" t="s">
        <v>296</v>
      </c>
      <c r="B852" s="31">
        <v>68.599999999999994</v>
      </c>
      <c r="C852" s="1" t="s">
        <v>20</v>
      </c>
      <c r="D852" s="2">
        <v>42767</v>
      </c>
      <c r="E852" s="2">
        <v>42795</v>
      </c>
      <c r="F852" s="17">
        <v>1950000</v>
      </c>
      <c r="G852" s="17">
        <v>28425.66</v>
      </c>
      <c r="H852" s="1"/>
      <c r="I852" s="1" t="s">
        <v>21</v>
      </c>
      <c r="J852" s="1" t="s">
        <v>22</v>
      </c>
      <c r="K852" s="1"/>
      <c r="L852" s="1" t="s">
        <v>295</v>
      </c>
      <c r="M852" s="1"/>
      <c r="N852" s="1" t="s">
        <v>330</v>
      </c>
      <c r="O852" s="31">
        <v>1</v>
      </c>
      <c r="P852" s="31">
        <v>1</v>
      </c>
      <c r="Q852" s="32">
        <v>2012</v>
      </c>
    </row>
    <row r="853" spans="1:17" x14ac:dyDescent="0.25">
      <c r="A853" s="1" t="s">
        <v>313</v>
      </c>
      <c r="B853" s="31">
        <v>54.5</v>
      </c>
      <c r="C853" s="1" t="s">
        <v>20</v>
      </c>
      <c r="D853" s="2">
        <v>42644</v>
      </c>
      <c r="E853" s="2">
        <v>42644</v>
      </c>
      <c r="F853" s="17">
        <v>1550000</v>
      </c>
      <c r="G853" s="17">
        <v>28440.37</v>
      </c>
      <c r="H853" s="1"/>
      <c r="I853" s="1" t="s">
        <v>21</v>
      </c>
      <c r="J853" s="1" t="s">
        <v>22</v>
      </c>
      <c r="K853" s="1"/>
      <c r="L853" s="1" t="s">
        <v>295</v>
      </c>
      <c r="M853" s="1"/>
      <c r="N853" s="1" t="s">
        <v>308</v>
      </c>
      <c r="O853" s="31">
        <v>3</v>
      </c>
      <c r="P853" s="31">
        <v>1</v>
      </c>
      <c r="Q853" s="32">
        <v>2008</v>
      </c>
    </row>
    <row r="854" spans="1:17" x14ac:dyDescent="0.25">
      <c r="A854" s="1" t="s">
        <v>312</v>
      </c>
      <c r="B854" s="31">
        <v>43.3</v>
      </c>
      <c r="C854" s="1" t="s">
        <v>20</v>
      </c>
      <c r="D854" s="2">
        <v>42705</v>
      </c>
      <c r="E854" s="2">
        <v>42705</v>
      </c>
      <c r="F854" s="17">
        <v>1236000</v>
      </c>
      <c r="G854" s="17">
        <v>28545.03</v>
      </c>
      <c r="H854" s="1"/>
      <c r="I854" s="1" t="s">
        <v>21</v>
      </c>
      <c r="J854" s="1" t="s">
        <v>22</v>
      </c>
      <c r="K854" s="1"/>
      <c r="L854" s="1" t="s">
        <v>295</v>
      </c>
      <c r="M854" s="1"/>
      <c r="N854" s="1" t="s">
        <v>128</v>
      </c>
      <c r="O854" s="31">
        <v>5</v>
      </c>
      <c r="P854" s="31">
        <v>1</v>
      </c>
      <c r="Q854" s="32">
        <v>2015</v>
      </c>
    </row>
    <row r="855" spans="1:17" x14ac:dyDescent="0.25">
      <c r="A855" s="1" t="s">
        <v>313</v>
      </c>
      <c r="B855" s="31">
        <v>43.3</v>
      </c>
      <c r="C855" s="1" t="s">
        <v>20</v>
      </c>
      <c r="D855" s="2">
        <v>42736</v>
      </c>
      <c r="E855" s="2">
        <v>42736</v>
      </c>
      <c r="F855" s="17">
        <v>1236000</v>
      </c>
      <c r="G855" s="17">
        <v>28545.03</v>
      </c>
      <c r="H855" s="1"/>
      <c r="I855" s="1" t="s">
        <v>21</v>
      </c>
      <c r="J855" s="1" t="s">
        <v>22</v>
      </c>
      <c r="K855" s="1"/>
      <c r="L855" s="1" t="s">
        <v>295</v>
      </c>
      <c r="M855" s="1"/>
      <c r="N855" s="1" t="s">
        <v>308</v>
      </c>
      <c r="O855" s="31">
        <v>2</v>
      </c>
      <c r="P855" s="31">
        <v>2</v>
      </c>
      <c r="Q855" s="32">
        <v>2007</v>
      </c>
    </row>
    <row r="856" spans="1:17" x14ac:dyDescent="0.25">
      <c r="A856" s="1" t="s">
        <v>313</v>
      </c>
      <c r="B856" s="31">
        <v>43.3</v>
      </c>
      <c r="C856" s="1" t="s">
        <v>20</v>
      </c>
      <c r="D856" s="2">
        <v>42736</v>
      </c>
      <c r="E856" s="2">
        <v>42736</v>
      </c>
      <c r="F856" s="17">
        <v>1236000</v>
      </c>
      <c r="G856" s="17">
        <v>28545.03</v>
      </c>
      <c r="H856" s="1"/>
      <c r="I856" s="1" t="s">
        <v>21</v>
      </c>
      <c r="J856" s="1" t="s">
        <v>22</v>
      </c>
      <c r="K856" s="1"/>
      <c r="L856" s="1" t="s">
        <v>295</v>
      </c>
      <c r="M856" s="1"/>
      <c r="N856" s="1" t="s">
        <v>308</v>
      </c>
      <c r="O856" s="31">
        <v>2</v>
      </c>
      <c r="P856" s="31">
        <v>2</v>
      </c>
      <c r="Q856" s="32">
        <v>2007</v>
      </c>
    </row>
    <row r="857" spans="1:17" x14ac:dyDescent="0.25">
      <c r="A857" s="1" t="s">
        <v>328</v>
      </c>
      <c r="B857" s="31">
        <v>46.2</v>
      </c>
      <c r="C857" s="1" t="s">
        <v>20</v>
      </c>
      <c r="D857" s="2">
        <v>42675</v>
      </c>
      <c r="E857" s="2">
        <v>42705</v>
      </c>
      <c r="F857" s="17">
        <v>1320000</v>
      </c>
      <c r="G857" s="17">
        <v>28571.43</v>
      </c>
      <c r="H857" s="1"/>
      <c r="I857" s="1" t="s">
        <v>21</v>
      </c>
      <c r="J857" s="1" t="s">
        <v>22</v>
      </c>
      <c r="K857" s="1"/>
      <c r="L857" s="1" t="s">
        <v>295</v>
      </c>
      <c r="M857" s="1"/>
      <c r="N857" s="1" t="s">
        <v>75</v>
      </c>
      <c r="O857" s="31">
        <v>1</v>
      </c>
      <c r="P857" s="31">
        <v>2</v>
      </c>
      <c r="Q857" s="32">
        <v>2016</v>
      </c>
    </row>
    <row r="858" spans="1:17" x14ac:dyDescent="0.25">
      <c r="A858" s="1" t="s">
        <v>328</v>
      </c>
      <c r="B858" s="31">
        <v>46.2</v>
      </c>
      <c r="C858" s="1" t="s">
        <v>20</v>
      </c>
      <c r="D858" s="2">
        <v>42675</v>
      </c>
      <c r="E858" s="2">
        <v>42705</v>
      </c>
      <c r="F858" s="17">
        <v>1320000</v>
      </c>
      <c r="G858" s="17">
        <v>28571.43</v>
      </c>
      <c r="H858" s="1"/>
      <c r="I858" s="1" t="s">
        <v>21</v>
      </c>
      <c r="J858" s="1" t="s">
        <v>22</v>
      </c>
      <c r="K858" s="1"/>
      <c r="L858" s="1" t="s">
        <v>295</v>
      </c>
      <c r="M858" s="1"/>
      <c r="N858" s="1" t="s">
        <v>75</v>
      </c>
      <c r="O858" s="31">
        <v>1</v>
      </c>
      <c r="P858" s="31">
        <v>2</v>
      </c>
      <c r="Q858" s="32">
        <v>2016</v>
      </c>
    </row>
    <row r="859" spans="1:17" x14ac:dyDescent="0.25">
      <c r="A859" s="1" t="s">
        <v>313</v>
      </c>
      <c r="B859" s="31">
        <v>36.4</v>
      </c>
      <c r="C859" s="1" t="s">
        <v>20</v>
      </c>
      <c r="D859" s="2">
        <v>42767</v>
      </c>
      <c r="E859" s="2">
        <v>42767</v>
      </c>
      <c r="F859" s="17">
        <v>1040000</v>
      </c>
      <c r="G859" s="17">
        <v>28571.43</v>
      </c>
      <c r="H859" s="1"/>
      <c r="I859" s="1" t="s">
        <v>21</v>
      </c>
      <c r="J859" s="1" t="s">
        <v>22</v>
      </c>
      <c r="K859" s="1"/>
      <c r="L859" s="1" t="s">
        <v>295</v>
      </c>
      <c r="M859" s="1"/>
      <c r="N859" s="1"/>
      <c r="O859" s="31">
        <v>5</v>
      </c>
      <c r="P859" s="31">
        <v>1</v>
      </c>
      <c r="Q859" s="32">
        <v>2001</v>
      </c>
    </row>
    <row r="860" spans="1:17" x14ac:dyDescent="0.25">
      <c r="A860" s="1" t="s">
        <v>306</v>
      </c>
      <c r="B860" s="31">
        <v>44.6</v>
      </c>
      <c r="C860" s="1" t="s">
        <v>20</v>
      </c>
      <c r="D860" s="2">
        <v>42675</v>
      </c>
      <c r="E860" s="2">
        <v>42705</v>
      </c>
      <c r="F860" s="17">
        <v>1280000</v>
      </c>
      <c r="G860" s="17">
        <v>28699.55</v>
      </c>
      <c r="H860" s="1"/>
      <c r="I860" s="1" t="s">
        <v>21</v>
      </c>
      <c r="J860" s="1" t="s">
        <v>22</v>
      </c>
      <c r="K860" s="1"/>
      <c r="L860" s="1" t="s">
        <v>295</v>
      </c>
      <c r="M860" s="1"/>
      <c r="N860" s="1" t="s">
        <v>308</v>
      </c>
      <c r="O860" s="31">
        <v>4</v>
      </c>
      <c r="P860" s="31">
        <v>1</v>
      </c>
      <c r="Q860" s="32">
        <v>2001</v>
      </c>
    </row>
    <row r="861" spans="1:17" x14ac:dyDescent="0.25">
      <c r="A861" s="1" t="s">
        <v>304</v>
      </c>
      <c r="B861" s="31">
        <v>45.2</v>
      </c>
      <c r="C861" s="1" t="s">
        <v>20</v>
      </c>
      <c r="D861" s="2">
        <v>42767</v>
      </c>
      <c r="E861" s="2">
        <v>42767</v>
      </c>
      <c r="F861" s="17">
        <v>1300000</v>
      </c>
      <c r="G861" s="17">
        <v>28761.06</v>
      </c>
      <c r="H861" s="1"/>
      <c r="I861" s="1" t="s">
        <v>21</v>
      </c>
      <c r="J861" s="1" t="s">
        <v>22</v>
      </c>
      <c r="K861" s="1"/>
      <c r="L861" s="1" t="s">
        <v>295</v>
      </c>
      <c r="M861" s="1"/>
      <c r="N861" s="1" t="s">
        <v>194</v>
      </c>
      <c r="O861" s="31">
        <v>4</v>
      </c>
      <c r="P861" s="31">
        <v>1</v>
      </c>
      <c r="Q861" s="32">
        <v>2004</v>
      </c>
    </row>
    <row r="862" spans="1:17" x14ac:dyDescent="0.25">
      <c r="A862" s="1" t="s">
        <v>309</v>
      </c>
      <c r="B862" s="31">
        <v>87.6</v>
      </c>
      <c r="C862" s="1" t="s">
        <v>20</v>
      </c>
      <c r="D862" s="2">
        <v>42675</v>
      </c>
      <c r="E862" s="2">
        <v>42675</v>
      </c>
      <c r="F862" s="17">
        <v>2520000</v>
      </c>
      <c r="G862" s="17">
        <v>28767.119999999999</v>
      </c>
      <c r="H862" s="1"/>
      <c r="I862" s="1" t="s">
        <v>21</v>
      </c>
      <c r="J862" s="1" t="s">
        <v>22</v>
      </c>
      <c r="K862" s="1"/>
      <c r="L862" s="1" t="s">
        <v>295</v>
      </c>
      <c r="M862" s="1"/>
      <c r="N862" s="1" t="s">
        <v>323</v>
      </c>
      <c r="O862" s="31">
        <v>4</v>
      </c>
      <c r="P862" s="31">
        <v>1</v>
      </c>
      <c r="Q862" s="32">
        <v>2010</v>
      </c>
    </row>
    <row r="863" spans="1:17" x14ac:dyDescent="0.25">
      <c r="A863" s="1" t="s">
        <v>303</v>
      </c>
      <c r="B863" s="31">
        <v>45.4</v>
      </c>
      <c r="C863" s="1" t="s">
        <v>20</v>
      </c>
      <c r="D863" s="2">
        <v>42705</v>
      </c>
      <c r="E863" s="2">
        <v>42705</v>
      </c>
      <c r="F863" s="17">
        <v>1312000</v>
      </c>
      <c r="G863" s="17">
        <v>28898.68</v>
      </c>
      <c r="H863" s="1"/>
      <c r="I863" s="1" t="s">
        <v>21</v>
      </c>
      <c r="J863" s="1" t="s">
        <v>22</v>
      </c>
      <c r="K863" s="1"/>
      <c r="L863" s="1" t="s">
        <v>295</v>
      </c>
      <c r="M863" s="1"/>
      <c r="N863" s="1" t="s">
        <v>126</v>
      </c>
      <c r="O863" s="31">
        <v>4</v>
      </c>
      <c r="P863" s="31">
        <v>1</v>
      </c>
      <c r="Q863" s="32">
        <v>2005</v>
      </c>
    </row>
    <row r="864" spans="1:17" x14ac:dyDescent="0.25">
      <c r="A864" s="1" t="s">
        <v>304</v>
      </c>
      <c r="B864" s="31">
        <v>43.6</v>
      </c>
      <c r="C864" s="1" t="s">
        <v>20</v>
      </c>
      <c r="D864" s="2">
        <v>42767</v>
      </c>
      <c r="E864" s="2">
        <v>42795</v>
      </c>
      <c r="F864" s="17">
        <v>1260000</v>
      </c>
      <c r="G864" s="17">
        <v>28899.08</v>
      </c>
      <c r="H864" s="1"/>
      <c r="I864" s="1" t="s">
        <v>21</v>
      </c>
      <c r="J864" s="1" t="s">
        <v>18</v>
      </c>
      <c r="K864" s="1"/>
      <c r="L864" s="1" t="s">
        <v>295</v>
      </c>
      <c r="M864" s="1"/>
      <c r="N864" s="1" t="s">
        <v>194</v>
      </c>
      <c r="O864" s="31">
        <v>1</v>
      </c>
      <c r="P864" s="31">
        <v>2</v>
      </c>
      <c r="Q864" s="32">
        <v>2013</v>
      </c>
    </row>
    <row r="865" spans="1:17" x14ac:dyDescent="0.25">
      <c r="A865" s="1" t="s">
        <v>304</v>
      </c>
      <c r="B865" s="31">
        <v>43.6</v>
      </c>
      <c r="C865" s="1" t="s">
        <v>20</v>
      </c>
      <c r="D865" s="2">
        <v>42767</v>
      </c>
      <c r="E865" s="2">
        <v>42795</v>
      </c>
      <c r="F865" s="17">
        <v>1260000</v>
      </c>
      <c r="G865" s="17">
        <v>28899.08</v>
      </c>
      <c r="H865" s="1"/>
      <c r="I865" s="1" t="s">
        <v>21</v>
      </c>
      <c r="J865" s="1" t="s">
        <v>18</v>
      </c>
      <c r="K865" s="1"/>
      <c r="L865" s="1" t="s">
        <v>295</v>
      </c>
      <c r="M865" s="1"/>
      <c r="N865" s="1" t="s">
        <v>194</v>
      </c>
      <c r="O865" s="31">
        <v>1</v>
      </c>
      <c r="P865" s="31">
        <v>2</v>
      </c>
      <c r="Q865" s="32">
        <v>2013</v>
      </c>
    </row>
    <row r="866" spans="1:17" x14ac:dyDescent="0.25">
      <c r="A866" s="1" t="s">
        <v>312</v>
      </c>
      <c r="B866" s="31">
        <v>45.5</v>
      </c>
      <c r="C866" s="1" t="s">
        <v>20</v>
      </c>
      <c r="D866" s="2">
        <v>42767</v>
      </c>
      <c r="E866" s="2">
        <v>42767</v>
      </c>
      <c r="F866" s="17">
        <v>1320000</v>
      </c>
      <c r="G866" s="17">
        <v>29010.99</v>
      </c>
      <c r="H866" s="1"/>
      <c r="I866" s="1" t="s">
        <v>21</v>
      </c>
      <c r="J866" s="1" t="s">
        <v>22</v>
      </c>
      <c r="K866" s="1"/>
      <c r="L866" s="1" t="s">
        <v>295</v>
      </c>
      <c r="M866" s="1"/>
      <c r="N866" s="1" t="s">
        <v>128</v>
      </c>
      <c r="O866" s="31">
        <v>4</v>
      </c>
      <c r="P866" s="31">
        <v>1</v>
      </c>
      <c r="Q866" s="32">
        <v>1999</v>
      </c>
    </row>
    <row r="867" spans="1:17" x14ac:dyDescent="0.25">
      <c r="A867" s="1" t="s">
        <v>298</v>
      </c>
      <c r="B867" s="31">
        <v>35.799999999999997</v>
      </c>
      <c r="C867" s="1" t="s">
        <v>20</v>
      </c>
      <c r="D867" s="2">
        <v>42767</v>
      </c>
      <c r="E867" s="2">
        <v>42767</v>
      </c>
      <c r="F867" s="17">
        <v>1040000</v>
      </c>
      <c r="G867" s="17">
        <v>29050.28</v>
      </c>
      <c r="H867" s="1"/>
      <c r="I867" s="1" t="s">
        <v>21</v>
      </c>
      <c r="J867" s="1" t="s">
        <v>22</v>
      </c>
      <c r="K867" s="1"/>
      <c r="L867" s="1" t="s">
        <v>295</v>
      </c>
      <c r="M867" s="1"/>
      <c r="N867" s="1" t="s">
        <v>299</v>
      </c>
      <c r="O867" s="31">
        <v>3</v>
      </c>
      <c r="P867" s="31">
        <v>1</v>
      </c>
      <c r="Q867" s="32">
        <v>2010</v>
      </c>
    </row>
    <row r="868" spans="1:17" x14ac:dyDescent="0.25">
      <c r="A868" s="1" t="s">
        <v>321</v>
      </c>
      <c r="B868" s="31">
        <v>42.6</v>
      </c>
      <c r="C868" s="1" t="s">
        <v>20</v>
      </c>
      <c r="D868" s="2">
        <v>42767</v>
      </c>
      <c r="E868" s="2">
        <v>42795</v>
      </c>
      <c r="F868" s="17">
        <v>1238000</v>
      </c>
      <c r="G868" s="17">
        <v>29061.03</v>
      </c>
      <c r="H868" s="1"/>
      <c r="I868" s="1" t="s">
        <v>21</v>
      </c>
      <c r="J868" s="1" t="s">
        <v>22</v>
      </c>
      <c r="K868" s="1"/>
      <c r="L868" s="1" t="s">
        <v>295</v>
      </c>
      <c r="M868" s="1"/>
      <c r="N868" s="1" t="s">
        <v>128</v>
      </c>
      <c r="O868" s="31">
        <v>5</v>
      </c>
      <c r="P868" s="31">
        <v>1</v>
      </c>
      <c r="Q868" s="32">
        <v>2005</v>
      </c>
    </row>
    <row r="869" spans="1:17" x14ac:dyDescent="0.25">
      <c r="A869" s="1" t="s">
        <v>319</v>
      </c>
      <c r="B869" s="31">
        <v>50.9</v>
      </c>
      <c r="C869" s="1" t="s">
        <v>20</v>
      </c>
      <c r="D869" s="2">
        <v>42705</v>
      </c>
      <c r="E869" s="2">
        <v>42705</v>
      </c>
      <c r="F869" s="17">
        <v>1480000</v>
      </c>
      <c r="G869" s="17">
        <v>29076.62</v>
      </c>
      <c r="H869" s="1"/>
      <c r="I869" s="1" t="s">
        <v>21</v>
      </c>
      <c r="J869" s="1" t="s">
        <v>204</v>
      </c>
      <c r="K869" s="1"/>
      <c r="L869" s="1" t="s">
        <v>295</v>
      </c>
      <c r="M869" s="1"/>
      <c r="N869" s="1" t="s">
        <v>311</v>
      </c>
      <c r="O869" s="31">
        <v>8</v>
      </c>
      <c r="P869" s="31">
        <v>2</v>
      </c>
      <c r="Q869" s="32">
        <v>2004</v>
      </c>
    </row>
    <row r="870" spans="1:17" x14ac:dyDescent="0.25">
      <c r="A870" s="1" t="s">
        <v>319</v>
      </c>
      <c r="B870" s="31">
        <v>50.9</v>
      </c>
      <c r="C870" s="1" t="s">
        <v>20</v>
      </c>
      <c r="D870" s="2">
        <v>42705</v>
      </c>
      <c r="E870" s="2">
        <v>42705</v>
      </c>
      <c r="F870" s="17">
        <v>1480000</v>
      </c>
      <c r="G870" s="17">
        <v>29076.62</v>
      </c>
      <c r="H870" s="1"/>
      <c r="I870" s="1" t="s">
        <v>21</v>
      </c>
      <c r="J870" s="1" t="s">
        <v>204</v>
      </c>
      <c r="K870" s="1"/>
      <c r="L870" s="1" t="s">
        <v>295</v>
      </c>
      <c r="M870" s="1"/>
      <c r="N870" s="1" t="s">
        <v>311</v>
      </c>
      <c r="O870" s="31">
        <v>8</v>
      </c>
      <c r="P870" s="31">
        <v>2</v>
      </c>
      <c r="Q870" s="32">
        <v>2004</v>
      </c>
    </row>
    <row r="871" spans="1:17" x14ac:dyDescent="0.25">
      <c r="A871" s="1" t="s">
        <v>315</v>
      </c>
      <c r="B871" s="31">
        <v>33</v>
      </c>
      <c r="C871" s="1" t="s">
        <v>20</v>
      </c>
      <c r="D871" s="2">
        <v>42736</v>
      </c>
      <c r="E871" s="2">
        <v>42736</v>
      </c>
      <c r="F871" s="17">
        <v>960000</v>
      </c>
      <c r="G871" s="17">
        <v>29090.91</v>
      </c>
      <c r="H871" s="1"/>
      <c r="I871" s="1" t="s">
        <v>21</v>
      </c>
      <c r="J871" s="1" t="s">
        <v>22</v>
      </c>
      <c r="K871" s="1"/>
      <c r="L871" s="1" t="s">
        <v>295</v>
      </c>
      <c r="M871" s="1"/>
      <c r="N871" s="1" t="s">
        <v>194</v>
      </c>
      <c r="O871" s="31">
        <v>5</v>
      </c>
      <c r="P871" s="31">
        <v>1</v>
      </c>
      <c r="Q871" s="32">
        <v>2006</v>
      </c>
    </row>
    <row r="872" spans="1:17" x14ac:dyDescent="0.25">
      <c r="A872" s="1" t="s">
        <v>307</v>
      </c>
      <c r="B872" s="31">
        <v>45.3</v>
      </c>
      <c r="C872" s="1" t="s">
        <v>20</v>
      </c>
      <c r="D872" s="2">
        <v>42736</v>
      </c>
      <c r="E872" s="2">
        <v>42736</v>
      </c>
      <c r="F872" s="17">
        <v>1319000</v>
      </c>
      <c r="G872" s="17">
        <v>29117</v>
      </c>
      <c r="H872" s="1"/>
      <c r="I872" s="1" t="s">
        <v>21</v>
      </c>
      <c r="J872" s="1" t="s">
        <v>32</v>
      </c>
      <c r="K872" s="1"/>
      <c r="L872" s="1" t="s">
        <v>295</v>
      </c>
      <c r="M872" s="1"/>
      <c r="N872" s="1" t="s">
        <v>297</v>
      </c>
      <c r="O872" s="31">
        <v>4</v>
      </c>
      <c r="P872" s="31">
        <v>1</v>
      </c>
      <c r="Q872" s="32">
        <v>2006</v>
      </c>
    </row>
    <row r="873" spans="1:17" x14ac:dyDescent="0.25">
      <c r="A873" s="1" t="s">
        <v>313</v>
      </c>
      <c r="B873" s="31">
        <v>30.9</v>
      </c>
      <c r="C873" s="1" t="s">
        <v>20</v>
      </c>
      <c r="D873" s="2">
        <v>42644</v>
      </c>
      <c r="E873" s="2">
        <v>42644</v>
      </c>
      <c r="F873" s="17">
        <v>904000</v>
      </c>
      <c r="G873" s="17">
        <v>29255.66</v>
      </c>
      <c r="H873" s="1"/>
      <c r="I873" s="1" t="s">
        <v>21</v>
      </c>
      <c r="J873" s="1" t="s">
        <v>22</v>
      </c>
      <c r="K873" s="1"/>
      <c r="L873" s="1" t="s">
        <v>295</v>
      </c>
      <c r="M873" s="1"/>
      <c r="N873" s="1"/>
      <c r="O873" s="31">
        <v>3</v>
      </c>
      <c r="P873" s="31">
        <v>1</v>
      </c>
      <c r="Q873" s="32">
        <v>2004</v>
      </c>
    </row>
    <row r="874" spans="1:17" x14ac:dyDescent="0.25">
      <c r="A874" s="1" t="s">
        <v>307</v>
      </c>
      <c r="B874" s="31">
        <v>30.7</v>
      </c>
      <c r="C874" s="1" t="s">
        <v>20</v>
      </c>
      <c r="D874" s="2">
        <v>42795</v>
      </c>
      <c r="E874" s="2">
        <v>42795</v>
      </c>
      <c r="F874" s="17">
        <v>900000</v>
      </c>
      <c r="G874" s="17">
        <v>29315.96</v>
      </c>
      <c r="H874" s="1"/>
      <c r="I874" s="1" t="s">
        <v>21</v>
      </c>
      <c r="J874" s="1" t="s">
        <v>22</v>
      </c>
      <c r="K874" s="1"/>
      <c r="L874" s="1" t="s">
        <v>295</v>
      </c>
      <c r="M874" s="1"/>
      <c r="N874" s="1" t="s">
        <v>128</v>
      </c>
      <c r="O874" s="31">
        <v>3</v>
      </c>
      <c r="P874" s="31">
        <v>1</v>
      </c>
      <c r="Q874" s="32">
        <v>2003</v>
      </c>
    </row>
    <row r="875" spans="1:17" x14ac:dyDescent="0.25">
      <c r="A875" s="1" t="s">
        <v>316</v>
      </c>
      <c r="B875" s="31">
        <v>42.9</v>
      </c>
      <c r="C875" s="1" t="s">
        <v>20</v>
      </c>
      <c r="D875" s="2">
        <v>42675</v>
      </c>
      <c r="E875" s="2">
        <v>42675</v>
      </c>
      <c r="F875" s="17">
        <v>1258000</v>
      </c>
      <c r="G875" s="17">
        <v>29324.01</v>
      </c>
      <c r="H875" s="1"/>
      <c r="I875" s="1" t="s">
        <v>21</v>
      </c>
      <c r="J875" s="1" t="s">
        <v>22</v>
      </c>
      <c r="K875" s="1"/>
      <c r="L875" s="1" t="s">
        <v>295</v>
      </c>
      <c r="M875" s="1"/>
      <c r="N875" s="1" t="s">
        <v>75</v>
      </c>
      <c r="O875" s="31">
        <v>2</v>
      </c>
      <c r="P875" s="31">
        <v>1</v>
      </c>
      <c r="Q875" s="32">
        <v>2011</v>
      </c>
    </row>
    <row r="876" spans="1:17" x14ac:dyDescent="0.25">
      <c r="A876" s="1" t="s">
        <v>296</v>
      </c>
      <c r="B876" s="31">
        <v>58.9</v>
      </c>
      <c r="C876" s="1" t="s">
        <v>20</v>
      </c>
      <c r="D876" s="2">
        <v>42767</v>
      </c>
      <c r="E876" s="2">
        <v>42767</v>
      </c>
      <c r="F876" s="17">
        <v>1730000</v>
      </c>
      <c r="G876" s="17">
        <v>29371.82</v>
      </c>
      <c r="H876" s="1"/>
      <c r="I876" s="1" t="s">
        <v>21</v>
      </c>
      <c r="J876" s="1" t="s">
        <v>22</v>
      </c>
      <c r="K876" s="1"/>
      <c r="L876" s="1" t="s">
        <v>295</v>
      </c>
      <c r="M876" s="1"/>
      <c r="N876" s="1"/>
      <c r="O876" s="31">
        <v>1</v>
      </c>
      <c r="P876" s="31">
        <v>2</v>
      </c>
      <c r="Q876" s="32">
        <v>2014</v>
      </c>
    </row>
    <row r="877" spans="1:17" x14ac:dyDescent="0.25">
      <c r="A877" s="1" t="s">
        <v>296</v>
      </c>
      <c r="B877" s="31">
        <v>58.9</v>
      </c>
      <c r="C877" s="1" t="s">
        <v>20</v>
      </c>
      <c r="D877" s="2">
        <v>42767</v>
      </c>
      <c r="E877" s="2">
        <v>42767</v>
      </c>
      <c r="F877" s="17">
        <v>1730000</v>
      </c>
      <c r="G877" s="17">
        <v>29371.82</v>
      </c>
      <c r="H877" s="1"/>
      <c r="I877" s="1" t="s">
        <v>21</v>
      </c>
      <c r="J877" s="1" t="s">
        <v>22</v>
      </c>
      <c r="K877" s="1"/>
      <c r="L877" s="1" t="s">
        <v>295</v>
      </c>
      <c r="M877" s="1"/>
      <c r="N877" s="1"/>
      <c r="O877" s="31">
        <v>1</v>
      </c>
      <c r="P877" s="31">
        <v>2</v>
      </c>
      <c r="Q877" s="32">
        <v>2014</v>
      </c>
    </row>
    <row r="878" spans="1:17" x14ac:dyDescent="0.25">
      <c r="A878" s="1" t="s">
        <v>325</v>
      </c>
      <c r="B878" s="31">
        <v>55.1</v>
      </c>
      <c r="C878" s="1" t="s">
        <v>20</v>
      </c>
      <c r="D878" s="2">
        <v>42767</v>
      </c>
      <c r="E878" s="2">
        <v>42767</v>
      </c>
      <c r="F878" s="17">
        <v>1620000</v>
      </c>
      <c r="G878" s="17">
        <v>29401.09</v>
      </c>
      <c r="H878" s="1"/>
      <c r="I878" s="1" t="s">
        <v>21</v>
      </c>
      <c r="J878" s="1" t="s">
        <v>22</v>
      </c>
      <c r="K878" s="1"/>
      <c r="L878" s="1" t="s">
        <v>295</v>
      </c>
      <c r="M878" s="1"/>
      <c r="N878" s="1" t="s">
        <v>145</v>
      </c>
      <c r="O878" s="31">
        <v>2</v>
      </c>
      <c r="P878" s="31">
        <v>1</v>
      </c>
      <c r="Q878" s="32">
        <v>2007</v>
      </c>
    </row>
    <row r="879" spans="1:17" x14ac:dyDescent="0.25">
      <c r="A879" s="1" t="s">
        <v>303</v>
      </c>
      <c r="B879" s="31">
        <v>45.5</v>
      </c>
      <c r="C879" s="1" t="s">
        <v>20</v>
      </c>
      <c r="D879" s="2">
        <v>42675</v>
      </c>
      <c r="E879" s="2">
        <v>42675</v>
      </c>
      <c r="F879" s="17">
        <v>1338000</v>
      </c>
      <c r="G879" s="17">
        <v>29406.59</v>
      </c>
      <c r="H879" s="1"/>
      <c r="I879" s="1" t="s">
        <v>21</v>
      </c>
      <c r="J879" s="1" t="s">
        <v>22</v>
      </c>
      <c r="K879" s="1"/>
      <c r="L879" s="1" t="s">
        <v>295</v>
      </c>
      <c r="M879" s="1"/>
      <c r="N879" s="1" t="s">
        <v>126</v>
      </c>
      <c r="O879" s="31">
        <v>4</v>
      </c>
      <c r="P879" s="31">
        <v>1</v>
      </c>
      <c r="Q879" s="32">
        <v>2008</v>
      </c>
    </row>
    <row r="880" spans="1:17" x14ac:dyDescent="0.25">
      <c r="A880" s="1" t="s">
        <v>309</v>
      </c>
      <c r="B880" s="31">
        <v>48.9</v>
      </c>
      <c r="C880" s="1" t="s">
        <v>20</v>
      </c>
      <c r="D880" s="2">
        <v>42644</v>
      </c>
      <c r="E880" s="2">
        <v>42644</v>
      </c>
      <c r="F880" s="17">
        <v>1440000</v>
      </c>
      <c r="G880" s="17">
        <v>29447.85</v>
      </c>
      <c r="H880" s="1"/>
      <c r="I880" s="1" t="s">
        <v>21</v>
      </c>
      <c r="J880" s="1" t="s">
        <v>22</v>
      </c>
      <c r="K880" s="1"/>
      <c r="L880" s="1" t="s">
        <v>295</v>
      </c>
      <c r="M880" s="1"/>
      <c r="N880" s="1" t="s">
        <v>194</v>
      </c>
      <c r="O880" s="31">
        <v>4</v>
      </c>
      <c r="P880" s="31">
        <v>2</v>
      </c>
      <c r="Q880" s="32">
        <v>2011</v>
      </c>
    </row>
    <row r="881" spans="1:17" x14ac:dyDescent="0.25">
      <c r="A881" s="1" t="s">
        <v>309</v>
      </c>
      <c r="B881" s="31">
        <v>48.9</v>
      </c>
      <c r="C881" s="1" t="s">
        <v>20</v>
      </c>
      <c r="D881" s="2">
        <v>42644</v>
      </c>
      <c r="E881" s="2">
        <v>42644</v>
      </c>
      <c r="F881" s="17">
        <v>1440000</v>
      </c>
      <c r="G881" s="17">
        <v>29447.85</v>
      </c>
      <c r="H881" s="1"/>
      <c r="I881" s="1" t="s">
        <v>21</v>
      </c>
      <c r="J881" s="1" t="s">
        <v>22</v>
      </c>
      <c r="K881" s="1"/>
      <c r="L881" s="1" t="s">
        <v>295</v>
      </c>
      <c r="M881" s="1"/>
      <c r="N881" s="1" t="s">
        <v>194</v>
      </c>
      <c r="O881" s="31">
        <v>4</v>
      </c>
      <c r="P881" s="31">
        <v>2</v>
      </c>
      <c r="Q881" s="32">
        <v>2011</v>
      </c>
    </row>
    <row r="882" spans="1:17" x14ac:dyDescent="0.25">
      <c r="A882" s="1" t="s">
        <v>303</v>
      </c>
      <c r="B882" s="31">
        <v>31.9</v>
      </c>
      <c r="C882" s="1" t="s">
        <v>20</v>
      </c>
      <c r="D882" s="2">
        <v>42705</v>
      </c>
      <c r="E882" s="2">
        <v>42705</v>
      </c>
      <c r="F882" s="17">
        <v>940000</v>
      </c>
      <c r="G882" s="17">
        <v>29467.08</v>
      </c>
      <c r="H882" s="1"/>
      <c r="I882" s="1" t="s">
        <v>21</v>
      </c>
      <c r="J882" s="1" t="s">
        <v>22</v>
      </c>
      <c r="K882" s="1"/>
      <c r="L882" s="1" t="s">
        <v>295</v>
      </c>
      <c r="M882" s="1"/>
      <c r="N882" s="1" t="s">
        <v>75</v>
      </c>
      <c r="O882" s="31">
        <v>2</v>
      </c>
      <c r="P882" s="31">
        <v>1</v>
      </c>
      <c r="Q882" s="32">
        <v>2008</v>
      </c>
    </row>
    <row r="883" spans="1:17" x14ac:dyDescent="0.25">
      <c r="A883" s="1" t="s">
        <v>315</v>
      </c>
      <c r="B883" s="31">
        <v>43.4</v>
      </c>
      <c r="C883" s="1" t="s">
        <v>20</v>
      </c>
      <c r="D883" s="2">
        <v>42767</v>
      </c>
      <c r="E883" s="2">
        <v>42767</v>
      </c>
      <c r="F883" s="17">
        <v>1280000</v>
      </c>
      <c r="G883" s="17">
        <v>29493.09</v>
      </c>
      <c r="H883" s="1"/>
      <c r="I883" s="1" t="s">
        <v>21</v>
      </c>
      <c r="J883" s="1" t="s">
        <v>32</v>
      </c>
      <c r="K883" s="1"/>
      <c r="L883" s="1" t="s">
        <v>295</v>
      </c>
      <c r="M883" s="1"/>
      <c r="N883" s="1" t="s">
        <v>194</v>
      </c>
      <c r="O883" s="31">
        <v>3</v>
      </c>
      <c r="P883" s="31">
        <v>1</v>
      </c>
      <c r="Q883" s="32">
        <v>2002</v>
      </c>
    </row>
    <row r="884" spans="1:17" x14ac:dyDescent="0.25">
      <c r="A884" s="1" t="s">
        <v>298</v>
      </c>
      <c r="B884" s="31">
        <v>50.1</v>
      </c>
      <c r="C884" s="1" t="s">
        <v>20</v>
      </c>
      <c r="D884" s="2">
        <v>42705</v>
      </c>
      <c r="E884" s="2">
        <v>42705</v>
      </c>
      <c r="F884" s="17">
        <v>1480000</v>
      </c>
      <c r="G884" s="17">
        <v>29540.92</v>
      </c>
      <c r="H884" s="1"/>
      <c r="I884" s="1" t="s">
        <v>21</v>
      </c>
      <c r="J884" s="1" t="s">
        <v>22</v>
      </c>
      <c r="K884" s="1"/>
      <c r="L884" s="1" t="s">
        <v>295</v>
      </c>
      <c r="M884" s="1"/>
      <c r="N884" s="1" t="s">
        <v>75</v>
      </c>
      <c r="O884" s="31">
        <v>1</v>
      </c>
      <c r="P884" s="31">
        <v>1</v>
      </c>
      <c r="Q884" s="32">
        <v>2011</v>
      </c>
    </row>
    <row r="885" spans="1:17" x14ac:dyDescent="0.25">
      <c r="A885" s="1" t="s">
        <v>296</v>
      </c>
      <c r="B885" s="31">
        <v>50.7</v>
      </c>
      <c r="C885" s="1" t="s">
        <v>20</v>
      </c>
      <c r="D885" s="2">
        <v>42675</v>
      </c>
      <c r="E885" s="2">
        <v>42675</v>
      </c>
      <c r="F885" s="17">
        <v>1500000</v>
      </c>
      <c r="G885" s="17">
        <v>29585.8</v>
      </c>
      <c r="H885" s="1"/>
      <c r="I885" s="1" t="s">
        <v>21</v>
      </c>
      <c r="J885" s="1" t="s">
        <v>22</v>
      </c>
      <c r="K885" s="1"/>
      <c r="L885" s="1" t="s">
        <v>295</v>
      </c>
      <c r="M885" s="1"/>
      <c r="N885" s="1"/>
      <c r="O885" s="31">
        <v>5</v>
      </c>
      <c r="P885" s="31">
        <v>1</v>
      </c>
      <c r="Q885" s="32">
        <v>2010</v>
      </c>
    </row>
    <row r="886" spans="1:17" x14ac:dyDescent="0.25">
      <c r="A886" s="1" t="s">
        <v>300</v>
      </c>
      <c r="B886" s="31">
        <v>34.700000000000003</v>
      </c>
      <c r="C886" s="1" t="s">
        <v>20</v>
      </c>
      <c r="D886" s="2">
        <v>42705</v>
      </c>
      <c r="E886" s="2">
        <v>42705</v>
      </c>
      <c r="F886" s="17">
        <v>1030000</v>
      </c>
      <c r="G886" s="17">
        <v>29683</v>
      </c>
      <c r="H886" s="1"/>
      <c r="I886" s="1" t="s">
        <v>21</v>
      </c>
      <c r="J886" s="1" t="s">
        <v>22</v>
      </c>
      <c r="K886" s="1"/>
      <c r="L886" s="1" t="s">
        <v>295</v>
      </c>
      <c r="M886" s="1"/>
      <c r="N886" s="1" t="s">
        <v>299</v>
      </c>
      <c r="O886" s="31">
        <v>5</v>
      </c>
      <c r="P886" s="31">
        <v>1</v>
      </c>
      <c r="Q886" s="32">
        <v>2012</v>
      </c>
    </row>
    <row r="887" spans="1:17" x14ac:dyDescent="0.25">
      <c r="A887" s="1" t="s">
        <v>305</v>
      </c>
      <c r="B887" s="31">
        <v>47</v>
      </c>
      <c r="C887" s="1" t="s">
        <v>20</v>
      </c>
      <c r="D887" s="2">
        <v>42705</v>
      </c>
      <c r="E887" s="2">
        <v>42705</v>
      </c>
      <c r="F887" s="17">
        <v>1400000</v>
      </c>
      <c r="G887" s="17">
        <v>29787.23</v>
      </c>
      <c r="H887" s="1"/>
      <c r="I887" s="1" t="s">
        <v>21</v>
      </c>
      <c r="J887" s="1" t="s">
        <v>22</v>
      </c>
      <c r="K887" s="1"/>
      <c r="L887" s="1" t="s">
        <v>295</v>
      </c>
      <c r="M887" s="1"/>
      <c r="N887" s="1" t="s">
        <v>299</v>
      </c>
      <c r="O887" s="31">
        <v>3</v>
      </c>
      <c r="P887" s="31">
        <v>1</v>
      </c>
      <c r="Q887" s="32">
        <v>2011</v>
      </c>
    </row>
    <row r="888" spans="1:17" x14ac:dyDescent="0.25">
      <c r="A888" s="1" t="s">
        <v>309</v>
      </c>
      <c r="B888" s="31">
        <v>61.7</v>
      </c>
      <c r="C888" s="1" t="s">
        <v>20</v>
      </c>
      <c r="D888" s="2">
        <v>42675</v>
      </c>
      <c r="E888" s="2">
        <v>42675</v>
      </c>
      <c r="F888" s="17">
        <v>1840000</v>
      </c>
      <c r="G888" s="17">
        <v>29821.72</v>
      </c>
      <c r="H888" s="1"/>
      <c r="I888" s="1" t="s">
        <v>21</v>
      </c>
      <c r="J888" s="1" t="s">
        <v>22</v>
      </c>
      <c r="K888" s="1"/>
      <c r="L888" s="1" t="s">
        <v>295</v>
      </c>
      <c r="M888" s="1"/>
      <c r="N888" s="1" t="s">
        <v>323</v>
      </c>
      <c r="O888" s="31" t="s">
        <v>327</v>
      </c>
      <c r="P888" s="31">
        <v>1</v>
      </c>
      <c r="Q888" s="32">
        <v>2009</v>
      </c>
    </row>
    <row r="889" spans="1:17" x14ac:dyDescent="0.25">
      <c r="A889" s="1" t="s">
        <v>315</v>
      </c>
      <c r="B889" s="31">
        <v>46.7</v>
      </c>
      <c r="C889" s="1" t="s">
        <v>20</v>
      </c>
      <c r="D889" s="2">
        <v>42705</v>
      </c>
      <c r="E889" s="2">
        <v>42705</v>
      </c>
      <c r="F889" s="17">
        <v>1397000</v>
      </c>
      <c r="G889" s="17">
        <v>29914.35</v>
      </c>
      <c r="H889" s="1"/>
      <c r="I889" s="1" t="s">
        <v>21</v>
      </c>
      <c r="J889" s="1" t="s">
        <v>22</v>
      </c>
      <c r="K889" s="1"/>
      <c r="L889" s="1" t="s">
        <v>295</v>
      </c>
      <c r="M889" s="1"/>
      <c r="N889" s="1" t="s">
        <v>126</v>
      </c>
      <c r="O889" s="31">
        <v>5</v>
      </c>
      <c r="P889" s="31">
        <v>1</v>
      </c>
      <c r="Q889" s="32">
        <v>2004</v>
      </c>
    </row>
    <row r="890" spans="1:17" x14ac:dyDescent="0.25">
      <c r="A890" s="1" t="s">
        <v>296</v>
      </c>
      <c r="B890" s="31">
        <v>66.5</v>
      </c>
      <c r="C890" s="1" t="s">
        <v>20</v>
      </c>
      <c r="D890" s="2">
        <v>42705</v>
      </c>
      <c r="E890" s="2">
        <v>42705</v>
      </c>
      <c r="F890" s="17">
        <v>2000000</v>
      </c>
      <c r="G890" s="17">
        <v>30075.19</v>
      </c>
      <c r="H890" s="1"/>
      <c r="I890" s="1" t="s">
        <v>21</v>
      </c>
      <c r="J890" s="1" t="s">
        <v>22</v>
      </c>
      <c r="K890" s="1"/>
      <c r="L890" s="1" t="s">
        <v>295</v>
      </c>
      <c r="M890" s="1"/>
      <c r="N890" s="1" t="s">
        <v>297</v>
      </c>
      <c r="O890" s="31">
        <v>1</v>
      </c>
      <c r="P890" s="31">
        <v>1</v>
      </c>
      <c r="Q890" s="32">
        <v>2003</v>
      </c>
    </row>
    <row r="891" spans="1:17" x14ac:dyDescent="0.25">
      <c r="A891" s="1" t="s">
        <v>312</v>
      </c>
      <c r="B891" s="31">
        <v>30.9</v>
      </c>
      <c r="C891" s="1" t="s">
        <v>20</v>
      </c>
      <c r="D891" s="2">
        <v>42795</v>
      </c>
      <c r="E891" s="2">
        <v>42795</v>
      </c>
      <c r="F891" s="17">
        <v>930000</v>
      </c>
      <c r="G891" s="17">
        <v>30097.09</v>
      </c>
      <c r="H891" s="1"/>
      <c r="I891" s="1" t="s">
        <v>21</v>
      </c>
      <c r="J891" s="1" t="s">
        <v>32</v>
      </c>
      <c r="K891" s="1"/>
      <c r="L891" s="1" t="s">
        <v>295</v>
      </c>
      <c r="M891" s="1"/>
      <c r="N891" s="1" t="s">
        <v>297</v>
      </c>
      <c r="O891" s="31">
        <v>3</v>
      </c>
      <c r="P891" s="31">
        <v>1</v>
      </c>
      <c r="Q891" s="32">
        <v>2004</v>
      </c>
    </row>
    <row r="892" spans="1:17" x14ac:dyDescent="0.25">
      <c r="A892" s="1" t="s">
        <v>306</v>
      </c>
      <c r="B892" s="31">
        <v>45.6</v>
      </c>
      <c r="C892" s="1" t="s">
        <v>20</v>
      </c>
      <c r="D892" s="2">
        <v>42675</v>
      </c>
      <c r="E892" s="2">
        <v>42675</v>
      </c>
      <c r="F892" s="17">
        <v>1376000</v>
      </c>
      <c r="G892" s="17">
        <v>30175.439999999999</v>
      </c>
      <c r="H892" s="1"/>
      <c r="I892" s="1" t="s">
        <v>21</v>
      </c>
      <c r="J892" s="1" t="s">
        <v>22</v>
      </c>
      <c r="K892" s="1"/>
      <c r="L892" s="1" t="s">
        <v>295</v>
      </c>
      <c r="M892" s="1"/>
      <c r="N892" s="1" t="s">
        <v>194</v>
      </c>
      <c r="O892" s="31">
        <v>4</v>
      </c>
      <c r="P892" s="31">
        <v>1</v>
      </c>
      <c r="Q892" s="32">
        <v>2011</v>
      </c>
    </row>
    <row r="893" spans="1:17" x14ac:dyDescent="0.25">
      <c r="A893" s="1" t="s">
        <v>319</v>
      </c>
      <c r="B893" s="31">
        <v>43.7</v>
      </c>
      <c r="C893" s="1" t="s">
        <v>20</v>
      </c>
      <c r="D893" s="2">
        <v>42736</v>
      </c>
      <c r="E893" s="2">
        <v>42767</v>
      </c>
      <c r="F893" s="17">
        <v>1320000</v>
      </c>
      <c r="G893" s="17">
        <v>30205.95</v>
      </c>
      <c r="H893" s="1"/>
      <c r="I893" s="1" t="s">
        <v>21</v>
      </c>
      <c r="J893" s="1" t="s">
        <v>22</v>
      </c>
      <c r="K893" s="1"/>
      <c r="L893" s="1" t="s">
        <v>295</v>
      </c>
      <c r="M893" s="1"/>
      <c r="N893" s="1" t="s">
        <v>324</v>
      </c>
      <c r="O893" s="31">
        <v>4</v>
      </c>
      <c r="P893" s="31">
        <v>1</v>
      </c>
      <c r="Q893" s="32">
        <v>2013</v>
      </c>
    </row>
    <row r="894" spans="1:17" x14ac:dyDescent="0.25">
      <c r="A894" s="1" t="s">
        <v>313</v>
      </c>
      <c r="B894" s="31">
        <v>43.2</v>
      </c>
      <c r="C894" s="1" t="s">
        <v>20</v>
      </c>
      <c r="D894" s="2">
        <v>42736</v>
      </c>
      <c r="E894" s="2">
        <v>42736</v>
      </c>
      <c r="F894" s="17">
        <v>1306000</v>
      </c>
      <c r="G894" s="17">
        <v>30231.48</v>
      </c>
      <c r="H894" s="1"/>
      <c r="I894" s="1" t="s">
        <v>21</v>
      </c>
      <c r="J894" s="1" t="s">
        <v>22</v>
      </c>
      <c r="K894" s="1"/>
      <c r="L894" s="1" t="s">
        <v>295</v>
      </c>
      <c r="M894" s="1"/>
      <c r="N894" s="1" t="s">
        <v>308</v>
      </c>
      <c r="O894" s="31">
        <v>1</v>
      </c>
      <c r="P894" s="31">
        <v>1</v>
      </c>
      <c r="Q894" s="32">
        <v>2007</v>
      </c>
    </row>
    <row r="895" spans="1:17" x14ac:dyDescent="0.25">
      <c r="A895" s="1" t="s">
        <v>312</v>
      </c>
      <c r="B895" s="31">
        <v>58.9</v>
      </c>
      <c r="C895" s="1" t="s">
        <v>20</v>
      </c>
      <c r="D895" s="2">
        <v>42675</v>
      </c>
      <c r="E895" s="2">
        <v>42675</v>
      </c>
      <c r="F895" s="17">
        <v>1800000</v>
      </c>
      <c r="G895" s="17">
        <v>30560.27</v>
      </c>
      <c r="H895" s="1"/>
      <c r="I895" s="1" t="s">
        <v>21</v>
      </c>
      <c r="J895" s="1" t="s">
        <v>22</v>
      </c>
      <c r="K895" s="1"/>
      <c r="L895" s="1" t="s">
        <v>295</v>
      </c>
      <c r="M895" s="1"/>
      <c r="N895" s="1" t="s">
        <v>194</v>
      </c>
      <c r="O895" s="31">
        <v>5</v>
      </c>
      <c r="P895" s="31">
        <v>1</v>
      </c>
      <c r="Q895" s="32">
        <v>2005</v>
      </c>
    </row>
    <row r="896" spans="1:17" x14ac:dyDescent="0.25">
      <c r="A896" s="1" t="s">
        <v>296</v>
      </c>
      <c r="B896" s="31">
        <v>37.299999999999997</v>
      </c>
      <c r="C896" s="1" t="s">
        <v>20</v>
      </c>
      <c r="D896" s="2">
        <v>42675</v>
      </c>
      <c r="E896" s="2">
        <v>42705</v>
      </c>
      <c r="F896" s="17">
        <v>1140000</v>
      </c>
      <c r="G896" s="17">
        <v>30563</v>
      </c>
      <c r="H896" s="1"/>
      <c r="I896" s="1" t="s">
        <v>21</v>
      </c>
      <c r="J896" s="1" t="s">
        <v>22</v>
      </c>
      <c r="K896" s="1"/>
      <c r="L896" s="1" t="s">
        <v>295</v>
      </c>
      <c r="M896" s="1"/>
      <c r="N896" s="1" t="s">
        <v>314</v>
      </c>
      <c r="O896" s="31">
        <v>1</v>
      </c>
      <c r="P896" s="31">
        <v>1</v>
      </c>
      <c r="Q896" s="32">
        <v>2010</v>
      </c>
    </row>
    <row r="897" spans="1:17" x14ac:dyDescent="0.25">
      <c r="A897" s="1" t="s">
        <v>312</v>
      </c>
      <c r="B897" s="31">
        <v>28.9</v>
      </c>
      <c r="C897" s="1" t="s">
        <v>20</v>
      </c>
      <c r="D897" s="2">
        <v>42675</v>
      </c>
      <c r="E897" s="2">
        <v>42675</v>
      </c>
      <c r="F897" s="17">
        <v>884000</v>
      </c>
      <c r="G897" s="17">
        <v>30588.240000000002</v>
      </c>
      <c r="H897" s="1"/>
      <c r="I897" s="1" t="s">
        <v>21</v>
      </c>
      <c r="J897" s="1" t="s">
        <v>22</v>
      </c>
      <c r="K897" s="1"/>
      <c r="L897" s="1" t="s">
        <v>295</v>
      </c>
      <c r="M897" s="1"/>
      <c r="N897" s="1" t="s">
        <v>128</v>
      </c>
      <c r="O897" s="31">
        <v>7</v>
      </c>
      <c r="P897" s="31">
        <v>1</v>
      </c>
      <c r="Q897" s="32">
        <v>2010</v>
      </c>
    </row>
    <row r="898" spans="1:17" x14ac:dyDescent="0.25">
      <c r="A898" s="1" t="s">
        <v>331</v>
      </c>
      <c r="B898" s="31">
        <v>52.3</v>
      </c>
      <c r="C898" s="1" t="s">
        <v>20</v>
      </c>
      <c r="D898" s="2">
        <v>42705</v>
      </c>
      <c r="E898" s="2">
        <v>42705</v>
      </c>
      <c r="F898" s="17">
        <v>1600000</v>
      </c>
      <c r="G898" s="17">
        <v>30592.73</v>
      </c>
      <c r="H898" s="1"/>
      <c r="I898" s="1" t="s">
        <v>21</v>
      </c>
      <c r="J898" s="1" t="s">
        <v>22</v>
      </c>
      <c r="K898" s="1"/>
      <c r="L898" s="1" t="s">
        <v>295</v>
      </c>
      <c r="M898" s="1"/>
      <c r="N898" s="1" t="s">
        <v>130</v>
      </c>
      <c r="O898" s="31">
        <v>4</v>
      </c>
      <c r="P898" s="31">
        <v>1</v>
      </c>
      <c r="Q898" s="32">
        <v>2016</v>
      </c>
    </row>
    <row r="899" spans="1:17" x14ac:dyDescent="0.25">
      <c r="A899" s="1" t="s">
        <v>303</v>
      </c>
      <c r="B899" s="31">
        <v>40</v>
      </c>
      <c r="C899" s="1" t="s">
        <v>20</v>
      </c>
      <c r="D899" s="2">
        <v>42705</v>
      </c>
      <c r="E899" s="2">
        <v>42736</v>
      </c>
      <c r="F899" s="17">
        <v>1224000</v>
      </c>
      <c r="G899" s="17">
        <v>30600</v>
      </c>
      <c r="H899" s="1"/>
      <c r="I899" s="1" t="s">
        <v>21</v>
      </c>
      <c r="J899" s="1" t="s">
        <v>32</v>
      </c>
      <c r="K899" s="1"/>
      <c r="L899" s="1" t="s">
        <v>295</v>
      </c>
      <c r="M899" s="1"/>
      <c r="N899" s="1" t="s">
        <v>128</v>
      </c>
      <c r="O899" s="31">
        <v>4</v>
      </c>
      <c r="P899" s="31">
        <v>1</v>
      </c>
      <c r="Q899" s="32">
        <v>2000</v>
      </c>
    </row>
    <row r="900" spans="1:17" x14ac:dyDescent="0.25">
      <c r="A900" s="1" t="s">
        <v>300</v>
      </c>
      <c r="B900" s="31">
        <v>52.1</v>
      </c>
      <c r="C900" s="1" t="s">
        <v>20</v>
      </c>
      <c r="D900" s="2">
        <v>42675</v>
      </c>
      <c r="E900" s="2">
        <v>42675</v>
      </c>
      <c r="F900" s="17">
        <v>1600000</v>
      </c>
      <c r="G900" s="17">
        <v>30710.17</v>
      </c>
      <c r="H900" s="1"/>
      <c r="I900" s="1" t="s">
        <v>21</v>
      </c>
      <c r="J900" s="1" t="s">
        <v>22</v>
      </c>
      <c r="K900" s="1"/>
      <c r="L900" s="1" t="s">
        <v>295</v>
      </c>
      <c r="M900" s="1"/>
      <c r="N900" s="1"/>
      <c r="O900" s="31">
        <v>4</v>
      </c>
      <c r="P900" s="31">
        <v>1</v>
      </c>
      <c r="Q900" s="32">
        <v>2005</v>
      </c>
    </row>
    <row r="901" spans="1:17" x14ac:dyDescent="0.25">
      <c r="A901" s="1" t="s">
        <v>309</v>
      </c>
      <c r="B901" s="31">
        <v>37</v>
      </c>
      <c r="C901" s="1" t="s">
        <v>20</v>
      </c>
      <c r="D901" s="2">
        <v>42644</v>
      </c>
      <c r="E901" s="2">
        <v>42644</v>
      </c>
      <c r="F901" s="17">
        <v>1140000</v>
      </c>
      <c r="G901" s="17">
        <v>30810.81</v>
      </c>
      <c r="H901" s="1"/>
      <c r="I901" s="1" t="s">
        <v>21</v>
      </c>
      <c r="J901" s="1" t="s">
        <v>22</v>
      </c>
      <c r="K901" s="1"/>
      <c r="L901" s="1" t="s">
        <v>295</v>
      </c>
      <c r="M901" s="1"/>
      <c r="N901" s="1" t="s">
        <v>194</v>
      </c>
      <c r="O901" s="31">
        <v>5</v>
      </c>
      <c r="P901" s="31">
        <v>1</v>
      </c>
      <c r="Q901" s="32">
        <v>2004</v>
      </c>
    </row>
    <row r="902" spans="1:17" x14ac:dyDescent="0.25">
      <c r="A902" s="1" t="s">
        <v>296</v>
      </c>
      <c r="B902" s="31">
        <v>40.200000000000003</v>
      </c>
      <c r="C902" s="1" t="s">
        <v>20</v>
      </c>
      <c r="D902" s="2">
        <v>42705</v>
      </c>
      <c r="E902" s="2">
        <v>42705</v>
      </c>
      <c r="F902" s="17">
        <v>1240000</v>
      </c>
      <c r="G902" s="17">
        <v>30845.77</v>
      </c>
      <c r="H902" s="1"/>
      <c r="I902" s="1" t="s">
        <v>21</v>
      </c>
      <c r="J902" s="1" t="s">
        <v>32</v>
      </c>
      <c r="K902" s="1"/>
      <c r="L902" s="1" t="s">
        <v>295</v>
      </c>
      <c r="M902" s="1"/>
      <c r="N902" s="1"/>
      <c r="O902" s="31">
        <v>1</v>
      </c>
      <c r="P902" s="31">
        <v>1</v>
      </c>
      <c r="Q902" s="32">
        <v>2002</v>
      </c>
    </row>
    <row r="903" spans="1:17" x14ac:dyDescent="0.25">
      <c r="A903" s="1" t="s">
        <v>315</v>
      </c>
      <c r="B903" s="31">
        <v>45.1</v>
      </c>
      <c r="C903" s="1" t="s">
        <v>20</v>
      </c>
      <c r="D903" s="2">
        <v>42675</v>
      </c>
      <c r="E903" s="2">
        <v>42675</v>
      </c>
      <c r="F903" s="17">
        <v>1400000</v>
      </c>
      <c r="G903" s="17">
        <v>31042.13</v>
      </c>
      <c r="H903" s="1"/>
      <c r="I903" s="1" t="s">
        <v>21</v>
      </c>
      <c r="J903" s="1" t="s">
        <v>22</v>
      </c>
      <c r="K903" s="1"/>
      <c r="L903" s="1" t="s">
        <v>295</v>
      </c>
      <c r="M903" s="1"/>
      <c r="N903" s="1" t="s">
        <v>128</v>
      </c>
      <c r="O903" s="31">
        <v>2</v>
      </c>
      <c r="P903" s="31">
        <v>1</v>
      </c>
      <c r="Q903" s="32">
        <v>1999</v>
      </c>
    </row>
    <row r="904" spans="1:17" x14ac:dyDescent="0.25">
      <c r="A904" s="1" t="s">
        <v>304</v>
      </c>
      <c r="B904" s="31">
        <v>32.200000000000003</v>
      </c>
      <c r="C904" s="1" t="s">
        <v>20</v>
      </c>
      <c r="D904" s="2">
        <v>42736</v>
      </c>
      <c r="E904" s="2">
        <v>42736</v>
      </c>
      <c r="F904" s="17">
        <v>1000000</v>
      </c>
      <c r="G904" s="17">
        <v>31055.9</v>
      </c>
      <c r="H904" s="1"/>
      <c r="I904" s="1" t="s">
        <v>21</v>
      </c>
      <c r="J904" s="1" t="s">
        <v>22</v>
      </c>
      <c r="K904" s="1"/>
      <c r="L904" s="1" t="s">
        <v>295</v>
      </c>
      <c r="M904" s="1"/>
      <c r="N904" s="1" t="s">
        <v>308</v>
      </c>
      <c r="O904" s="31">
        <v>9</v>
      </c>
      <c r="P904" s="31">
        <v>1</v>
      </c>
      <c r="Q904" s="32">
        <v>2005</v>
      </c>
    </row>
    <row r="905" spans="1:17" x14ac:dyDescent="0.25">
      <c r="A905" s="1" t="s">
        <v>298</v>
      </c>
      <c r="B905" s="31">
        <v>51.7</v>
      </c>
      <c r="C905" s="1" t="s">
        <v>20</v>
      </c>
      <c r="D905" s="2">
        <v>42767</v>
      </c>
      <c r="E905" s="2">
        <v>42795</v>
      </c>
      <c r="F905" s="17">
        <v>1620000</v>
      </c>
      <c r="G905" s="17">
        <v>31334.62</v>
      </c>
      <c r="H905" s="1"/>
      <c r="I905" s="1" t="s">
        <v>21</v>
      </c>
      <c r="J905" s="1" t="s">
        <v>22</v>
      </c>
      <c r="K905" s="1"/>
      <c r="L905" s="1" t="s">
        <v>295</v>
      </c>
      <c r="M905" s="1"/>
      <c r="N905" s="1" t="s">
        <v>75</v>
      </c>
      <c r="O905" s="31">
        <v>8</v>
      </c>
      <c r="P905" s="31">
        <v>1</v>
      </c>
      <c r="Q905" s="32">
        <v>2006</v>
      </c>
    </row>
    <row r="906" spans="1:17" x14ac:dyDescent="0.25">
      <c r="A906" s="1" t="s">
        <v>309</v>
      </c>
      <c r="B906" s="31">
        <v>50.4</v>
      </c>
      <c r="C906" s="1" t="s">
        <v>20</v>
      </c>
      <c r="D906" s="2">
        <v>42675</v>
      </c>
      <c r="E906" s="2">
        <v>42675</v>
      </c>
      <c r="F906" s="17">
        <v>1595000</v>
      </c>
      <c r="G906" s="17">
        <v>31646.83</v>
      </c>
      <c r="H906" s="1"/>
      <c r="I906" s="1" t="s">
        <v>21</v>
      </c>
      <c r="J906" s="1" t="s">
        <v>22</v>
      </c>
      <c r="K906" s="1"/>
      <c r="L906" s="1" t="s">
        <v>295</v>
      </c>
      <c r="M906" s="1"/>
      <c r="N906" s="1"/>
      <c r="O906" s="31">
        <v>9</v>
      </c>
      <c r="P906" s="31">
        <v>1</v>
      </c>
      <c r="Q906" s="32">
        <v>2010</v>
      </c>
    </row>
    <row r="907" spans="1:17" x14ac:dyDescent="0.25">
      <c r="A907" s="1" t="s">
        <v>296</v>
      </c>
      <c r="B907" s="31">
        <v>71.900000000000006</v>
      </c>
      <c r="C907" s="1" t="s">
        <v>20</v>
      </c>
      <c r="D907" s="2">
        <v>42675</v>
      </c>
      <c r="E907" s="2">
        <v>42675</v>
      </c>
      <c r="F907" s="17">
        <v>2280000</v>
      </c>
      <c r="G907" s="17">
        <v>31710.71</v>
      </c>
      <c r="H907" s="1"/>
      <c r="I907" s="1" t="s">
        <v>21</v>
      </c>
      <c r="J907" s="1" t="s">
        <v>22</v>
      </c>
      <c r="K907" s="1"/>
      <c r="L907" s="1" t="s">
        <v>295</v>
      </c>
      <c r="M907" s="1"/>
      <c r="N907" s="1"/>
      <c r="O907" s="31">
        <v>3</v>
      </c>
      <c r="P907" s="31">
        <v>2</v>
      </c>
      <c r="Q907" s="32">
        <v>2004</v>
      </c>
    </row>
    <row r="908" spans="1:17" x14ac:dyDescent="0.25">
      <c r="A908" s="1" t="s">
        <v>296</v>
      </c>
      <c r="B908" s="31">
        <v>71.900000000000006</v>
      </c>
      <c r="C908" s="1" t="s">
        <v>20</v>
      </c>
      <c r="D908" s="2">
        <v>42675</v>
      </c>
      <c r="E908" s="2">
        <v>42675</v>
      </c>
      <c r="F908" s="17">
        <v>2280000</v>
      </c>
      <c r="G908" s="17">
        <v>31710.71</v>
      </c>
      <c r="H908" s="1"/>
      <c r="I908" s="1" t="s">
        <v>21</v>
      </c>
      <c r="J908" s="1" t="s">
        <v>22</v>
      </c>
      <c r="K908" s="1"/>
      <c r="L908" s="1" t="s">
        <v>295</v>
      </c>
      <c r="M908" s="1"/>
      <c r="N908" s="1"/>
      <c r="O908" s="31">
        <v>3</v>
      </c>
      <c r="P908" s="31">
        <v>2</v>
      </c>
      <c r="Q908" s="32">
        <v>2004</v>
      </c>
    </row>
    <row r="909" spans="1:17" x14ac:dyDescent="0.25">
      <c r="A909" s="1" t="s">
        <v>296</v>
      </c>
      <c r="B909" s="31">
        <v>49.5</v>
      </c>
      <c r="C909" s="1" t="s">
        <v>20</v>
      </c>
      <c r="D909" s="2">
        <v>42644</v>
      </c>
      <c r="E909" s="2">
        <v>42644</v>
      </c>
      <c r="F909" s="17">
        <v>1570000</v>
      </c>
      <c r="G909" s="17">
        <v>31717.17</v>
      </c>
      <c r="H909" s="1"/>
      <c r="I909" s="1" t="s">
        <v>21</v>
      </c>
      <c r="J909" s="1" t="s">
        <v>22</v>
      </c>
      <c r="K909" s="1"/>
      <c r="L909" s="1" t="s">
        <v>295</v>
      </c>
      <c r="M909" s="1"/>
      <c r="N909" s="1" t="s">
        <v>314</v>
      </c>
      <c r="O909" s="31">
        <v>5</v>
      </c>
      <c r="P909" s="31">
        <v>1</v>
      </c>
      <c r="Q909" s="32">
        <v>2004</v>
      </c>
    </row>
    <row r="910" spans="1:17" x14ac:dyDescent="0.25">
      <c r="A910" s="1" t="s">
        <v>300</v>
      </c>
      <c r="B910" s="31">
        <v>39.700000000000003</v>
      </c>
      <c r="C910" s="1" t="s">
        <v>20</v>
      </c>
      <c r="D910" s="2">
        <v>42675</v>
      </c>
      <c r="E910" s="2">
        <v>42675</v>
      </c>
      <c r="F910" s="17">
        <v>1264000</v>
      </c>
      <c r="G910" s="17">
        <v>31838.79</v>
      </c>
      <c r="H910" s="1"/>
      <c r="I910" s="1" t="s">
        <v>21</v>
      </c>
      <c r="J910" s="1" t="s">
        <v>22</v>
      </c>
      <c r="K910" s="1"/>
      <c r="L910" s="1" t="s">
        <v>295</v>
      </c>
      <c r="M910" s="1"/>
      <c r="N910" s="1"/>
      <c r="O910" s="31">
        <v>1</v>
      </c>
      <c r="P910" s="31">
        <v>1</v>
      </c>
      <c r="Q910" s="32">
        <v>2009</v>
      </c>
    </row>
    <row r="911" spans="1:17" x14ac:dyDescent="0.25">
      <c r="A911" s="1" t="s">
        <v>320</v>
      </c>
      <c r="B911" s="31">
        <v>63.4</v>
      </c>
      <c r="C911" s="1" t="s">
        <v>20</v>
      </c>
      <c r="D911" s="2">
        <v>42644</v>
      </c>
      <c r="E911" s="2">
        <v>42644</v>
      </c>
      <c r="F911" s="17">
        <v>2020000</v>
      </c>
      <c r="G911" s="17">
        <v>31861.200000000001</v>
      </c>
      <c r="H911" s="1"/>
      <c r="I911" s="1" t="s">
        <v>21</v>
      </c>
      <c r="J911" s="1" t="s">
        <v>32</v>
      </c>
      <c r="K911" s="1"/>
      <c r="L911" s="1" t="s">
        <v>295</v>
      </c>
      <c r="M911" s="1"/>
      <c r="N911" s="1" t="s">
        <v>166</v>
      </c>
      <c r="O911" s="31">
        <v>2</v>
      </c>
      <c r="P911" s="31">
        <v>1</v>
      </c>
      <c r="Q911" s="32">
        <v>2003</v>
      </c>
    </row>
    <row r="912" spans="1:17" x14ac:dyDescent="0.25">
      <c r="A912" s="1" t="s">
        <v>313</v>
      </c>
      <c r="B912" s="31">
        <v>36.700000000000003</v>
      </c>
      <c r="C912" s="1" t="s">
        <v>20</v>
      </c>
      <c r="D912" s="2">
        <v>42705</v>
      </c>
      <c r="E912" s="2">
        <v>42705</v>
      </c>
      <c r="F912" s="17">
        <v>1169600</v>
      </c>
      <c r="G912" s="17">
        <v>31869.21</v>
      </c>
      <c r="H912" s="1"/>
      <c r="I912" s="1" t="s">
        <v>21</v>
      </c>
      <c r="J912" s="1" t="s">
        <v>32</v>
      </c>
      <c r="K912" s="1"/>
      <c r="L912" s="1" t="s">
        <v>295</v>
      </c>
      <c r="M912" s="1"/>
      <c r="N912" s="1" t="s">
        <v>299</v>
      </c>
      <c r="O912" s="31">
        <v>4</v>
      </c>
      <c r="P912" s="31">
        <v>1</v>
      </c>
      <c r="Q912" s="32">
        <v>1999</v>
      </c>
    </row>
    <row r="913" spans="1:17" x14ac:dyDescent="0.25">
      <c r="A913" s="1" t="s">
        <v>305</v>
      </c>
      <c r="B913" s="31">
        <v>36</v>
      </c>
      <c r="C913" s="1" t="s">
        <v>20</v>
      </c>
      <c r="D913" s="2">
        <v>42705</v>
      </c>
      <c r="E913" s="2">
        <v>42705</v>
      </c>
      <c r="F913" s="17">
        <v>1150000</v>
      </c>
      <c r="G913" s="17">
        <v>31944.44</v>
      </c>
      <c r="H913" s="1"/>
      <c r="I913" s="1" t="s">
        <v>21</v>
      </c>
      <c r="J913" s="1" t="s">
        <v>22</v>
      </c>
      <c r="K913" s="1"/>
      <c r="L913" s="1" t="s">
        <v>295</v>
      </c>
      <c r="M913" s="1"/>
      <c r="N913" s="1" t="s">
        <v>324</v>
      </c>
      <c r="O913" s="31">
        <v>4</v>
      </c>
      <c r="P913" s="31">
        <v>1</v>
      </c>
      <c r="Q913" s="32">
        <v>2008</v>
      </c>
    </row>
    <row r="914" spans="1:17" x14ac:dyDescent="0.25">
      <c r="A914" s="1" t="s">
        <v>306</v>
      </c>
      <c r="B914" s="31">
        <v>43.8</v>
      </c>
      <c r="C914" s="1" t="s">
        <v>20</v>
      </c>
      <c r="D914" s="2">
        <v>42644</v>
      </c>
      <c r="E914" s="2">
        <v>42644</v>
      </c>
      <c r="F914" s="17">
        <v>1400000</v>
      </c>
      <c r="G914" s="17">
        <v>31963.47</v>
      </c>
      <c r="H914" s="1"/>
      <c r="I914" s="1" t="s">
        <v>21</v>
      </c>
      <c r="J914" s="1" t="s">
        <v>22</v>
      </c>
      <c r="K914" s="1"/>
      <c r="L914" s="1" t="s">
        <v>295</v>
      </c>
      <c r="M914" s="1"/>
      <c r="N914" s="1" t="s">
        <v>128</v>
      </c>
      <c r="O914" s="31">
        <v>3</v>
      </c>
      <c r="P914" s="31">
        <v>2</v>
      </c>
      <c r="Q914" s="32">
        <v>2005</v>
      </c>
    </row>
    <row r="915" spans="1:17" x14ac:dyDescent="0.25">
      <c r="A915" s="1" t="s">
        <v>306</v>
      </c>
      <c r="B915" s="31">
        <v>43.8</v>
      </c>
      <c r="C915" s="1" t="s">
        <v>20</v>
      </c>
      <c r="D915" s="2">
        <v>42644</v>
      </c>
      <c r="E915" s="2">
        <v>42644</v>
      </c>
      <c r="F915" s="17">
        <v>1400000</v>
      </c>
      <c r="G915" s="17">
        <v>31963.47</v>
      </c>
      <c r="H915" s="1"/>
      <c r="I915" s="1" t="s">
        <v>21</v>
      </c>
      <c r="J915" s="1" t="s">
        <v>22</v>
      </c>
      <c r="K915" s="1"/>
      <c r="L915" s="1" t="s">
        <v>295</v>
      </c>
      <c r="M915" s="1"/>
      <c r="N915" s="1" t="s">
        <v>128</v>
      </c>
      <c r="O915" s="31">
        <v>3</v>
      </c>
      <c r="P915" s="31">
        <v>2</v>
      </c>
      <c r="Q915" s="32">
        <v>2005</v>
      </c>
    </row>
    <row r="916" spans="1:17" x14ac:dyDescent="0.25">
      <c r="A916" s="1" t="s">
        <v>309</v>
      </c>
      <c r="B916" s="31">
        <v>49.6</v>
      </c>
      <c r="C916" s="1" t="s">
        <v>20</v>
      </c>
      <c r="D916" s="2">
        <v>42614</v>
      </c>
      <c r="E916" s="2">
        <v>42644</v>
      </c>
      <c r="F916" s="17">
        <v>1590000</v>
      </c>
      <c r="G916" s="17">
        <v>32056.45</v>
      </c>
      <c r="H916" s="1"/>
      <c r="I916" s="1" t="s">
        <v>21</v>
      </c>
      <c r="J916" s="1" t="s">
        <v>22</v>
      </c>
      <c r="K916" s="1"/>
      <c r="L916" s="1" t="s">
        <v>295</v>
      </c>
      <c r="M916" s="1"/>
      <c r="N916" s="1" t="s">
        <v>311</v>
      </c>
      <c r="O916" s="31">
        <v>9</v>
      </c>
      <c r="P916" s="31">
        <v>1</v>
      </c>
      <c r="Q916" s="32">
        <v>2007</v>
      </c>
    </row>
    <row r="917" spans="1:17" x14ac:dyDescent="0.25">
      <c r="A917" s="1" t="s">
        <v>304</v>
      </c>
      <c r="B917" s="31">
        <v>31</v>
      </c>
      <c r="C917" s="1" t="s">
        <v>20</v>
      </c>
      <c r="D917" s="2">
        <v>42705</v>
      </c>
      <c r="E917" s="2">
        <v>42705</v>
      </c>
      <c r="F917" s="17">
        <v>1000000</v>
      </c>
      <c r="G917" s="17">
        <v>32258.06</v>
      </c>
      <c r="H917" s="1"/>
      <c r="I917" s="1" t="s">
        <v>21</v>
      </c>
      <c r="J917" s="1" t="s">
        <v>22</v>
      </c>
      <c r="K917" s="1"/>
      <c r="L917" s="1" t="s">
        <v>295</v>
      </c>
      <c r="M917" s="1"/>
      <c r="N917" s="1" t="s">
        <v>299</v>
      </c>
      <c r="O917" s="31">
        <v>3</v>
      </c>
      <c r="P917" s="31">
        <v>1</v>
      </c>
      <c r="Q917" s="32">
        <v>2006</v>
      </c>
    </row>
    <row r="918" spans="1:17" x14ac:dyDescent="0.25">
      <c r="A918" s="1" t="s">
        <v>304</v>
      </c>
      <c r="B918" s="31">
        <v>47.6</v>
      </c>
      <c r="C918" s="1" t="s">
        <v>20</v>
      </c>
      <c r="D918" s="2">
        <v>42705</v>
      </c>
      <c r="E918" s="2">
        <v>42705</v>
      </c>
      <c r="F918" s="17">
        <v>1540000</v>
      </c>
      <c r="G918" s="17">
        <v>32352.94</v>
      </c>
      <c r="H918" s="1"/>
      <c r="I918" s="1" t="s">
        <v>21</v>
      </c>
      <c r="J918" s="1" t="s">
        <v>22</v>
      </c>
      <c r="K918" s="1"/>
      <c r="L918" s="1" t="s">
        <v>295</v>
      </c>
      <c r="M918" s="1"/>
      <c r="N918" s="1" t="s">
        <v>299</v>
      </c>
      <c r="O918" s="31">
        <v>1</v>
      </c>
      <c r="P918" s="31">
        <v>2</v>
      </c>
      <c r="Q918" s="32">
        <v>2004</v>
      </c>
    </row>
    <row r="919" spans="1:17" x14ac:dyDescent="0.25">
      <c r="A919" s="1" t="s">
        <v>304</v>
      </c>
      <c r="B919" s="31">
        <v>47.6</v>
      </c>
      <c r="C919" s="1" t="s">
        <v>20</v>
      </c>
      <c r="D919" s="2">
        <v>42705</v>
      </c>
      <c r="E919" s="2">
        <v>42705</v>
      </c>
      <c r="F919" s="17">
        <v>1540000</v>
      </c>
      <c r="G919" s="17">
        <v>32352.94</v>
      </c>
      <c r="H919" s="1"/>
      <c r="I919" s="1" t="s">
        <v>21</v>
      </c>
      <c r="J919" s="1" t="s">
        <v>22</v>
      </c>
      <c r="K919" s="1"/>
      <c r="L919" s="1" t="s">
        <v>295</v>
      </c>
      <c r="M919" s="1"/>
      <c r="N919" s="1" t="s">
        <v>299</v>
      </c>
      <c r="O919" s="31">
        <v>1</v>
      </c>
      <c r="P919" s="31">
        <v>2</v>
      </c>
      <c r="Q919" s="32">
        <v>2004</v>
      </c>
    </row>
    <row r="920" spans="1:17" x14ac:dyDescent="0.25">
      <c r="A920" s="1" t="s">
        <v>319</v>
      </c>
      <c r="B920" s="31">
        <v>35.9</v>
      </c>
      <c r="C920" s="1" t="s">
        <v>20</v>
      </c>
      <c r="D920" s="2">
        <v>42767</v>
      </c>
      <c r="E920" s="2">
        <v>42767</v>
      </c>
      <c r="F920" s="17">
        <v>1164800</v>
      </c>
      <c r="G920" s="17">
        <v>32445.68</v>
      </c>
      <c r="H920" s="1"/>
      <c r="I920" s="1" t="s">
        <v>21</v>
      </c>
      <c r="J920" s="1" t="s">
        <v>22</v>
      </c>
      <c r="K920" s="1"/>
      <c r="L920" s="1" t="s">
        <v>295</v>
      </c>
      <c r="M920" s="1"/>
      <c r="N920" s="1" t="s">
        <v>311</v>
      </c>
      <c r="O920" s="31">
        <v>9</v>
      </c>
      <c r="P920" s="31">
        <v>1</v>
      </c>
      <c r="Q920" s="32">
        <v>2005</v>
      </c>
    </row>
    <row r="921" spans="1:17" x14ac:dyDescent="0.25">
      <c r="A921" s="1" t="s">
        <v>312</v>
      </c>
      <c r="B921" s="31">
        <v>38.799999999999997</v>
      </c>
      <c r="C921" s="1" t="s">
        <v>20</v>
      </c>
      <c r="D921" s="2">
        <v>42675</v>
      </c>
      <c r="E921" s="2">
        <v>42675</v>
      </c>
      <c r="F921" s="17">
        <v>1262000</v>
      </c>
      <c r="G921" s="17">
        <v>32525.77</v>
      </c>
      <c r="H921" s="1"/>
      <c r="I921" s="1" t="s">
        <v>21</v>
      </c>
      <c r="J921" s="1" t="s">
        <v>22</v>
      </c>
      <c r="K921" s="1"/>
      <c r="L921" s="1" t="s">
        <v>295</v>
      </c>
      <c r="M921" s="1"/>
      <c r="N921" s="1" t="s">
        <v>297</v>
      </c>
      <c r="O921" s="31">
        <v>8</v>
      </c>
      <c r="P921" s="31">
        <v>1</v>
      </c>
      <c r="Q921" s="32">
        <v>2006</v>
      </c>
    </row>
    <row r="922" spans="1:17" x14ac:dyDescent="0.25">
      <c r="A922" s="1" t="s">
        <v>322</v>
      </c>
      <c r="B922" s="31">
        <v>38.799999999999997</v>
      </c>
      <c r="C922" s="1" t="s">
        <v>20</v>
      </c>
      <c r="D922" s="2">
        <v>42705</v>
      </c>
      <c r="E922" s="2">
        <v>42705</v>
      </c>
      <c r="F922" s="17">
        <v>1264000</v>
      </c>
      <c r="G922" s="17">
        <v>32577.32</v>
      </c>
      <c r="H922" s="1"/>
      <c r="I922" s="1" t="s">
        <v>21</v>
      </c>
      <c r="J922" s="1" t="s">
        <v>22</v>
      </c>
      <c r="K922" s="1"/>
      <c r="L922" s="1" t="s">
        <v>295</v>
      </c>
      <c r="M922" s="1"/>
      <c r="N922" s="1" t="s">
        <v>257</v>
      </c>
      <c r="O922" s="31">
        <v>5</v>
      </c>
      <c r="P922" s="31">
        <v>1</v>
      </c>
      <c r="Q922" s="32">
        <v>2016</v>
      </c>
    </row>
    <row r="923" spans="1:17" x14ac:dyDescent="0.25">
      <c r="A923" s="1" t="s">
        <v>315</v>
      </c>
      <c r="B923" s="31">
        <v>45.9</v>
      </c>
      <c r="C923" s="1" t="s">
        <v>20</v>
      </c>
      <c r="D923" s="2">
        <v>42767</v>
      </c>
      <c r="E923" s="2">
        <v>42767</v>
      </c>
      <c r="F923" s="17">
        <v>1500000</v>
      </c>
      <c r="G923" s="17">
        <v>32679.74</v>
      </c>
      <c r="H923" s="1"/>
      <c r="I923" s="1" t="s">
        <v>21</v>
      </c>
      <c r="J923" s="1" t="s">
        <v>22</v>
      </c>
      <c r="K923" s="1"/>
      <c r="L923" s="1" t="s">
        <v>295</v>
      </c>
      <c r="M923" s="1"/>
      <c r="N923" s="1" t="s">
        <v>194</v>
      </c>
      <c r="O923" s="31">
        <v>3</v>
      </c>
      <c r="P923" s="31">
        <v>1</v>
      </c>
      <c r="Q923" s="32">
        <v>2011</v>
      </c>
    </row>
    <row r="924" spans="1:17" x14ac:dyDescent="0.25">
      <c r="A924" s="1" t="s">
        <v>321</v>
      </c>
      <c r="B924" s="31">
        <v>33.4</v>
      </c>
      <c r="C924" s="1" t="s">
        <v>20</v>
      </c>
      <c r="D924" s="2">
        <v>42675</v>
      </c>
      <c r="E924" s="2">
        <v>42675</v>
      </c>
      <c r="F924" s="17">
        <v>1100000</v>
      </c>
      <c r="G924" s="17">
        <v>32934.129999999997</v>
      </c>
      <c r="H924" s="1"/>
      <c r="I924" s="1" t="s">
        <v>21</v>
      </c>
      <c r="J924" s="1" t="s">
        <v>22</v>
      </c>
      <c r="K924" s="1"/>
      <c r="L924" s="1" t="s">
        <v>295</v>
      </c>
      <c r="M924" s="1"/>
      <c r="N924" s="1" t="s">
        <v>130</v>
      </c>
      <c r="O924" s="31">
        <v>5</v>
      </c>
      <c r="P924" s="31">
        <v>1</v>
      </c>
      <c r="Q924" s="32">
        <v>2005</v>
      </c>
    </row>
    <row r="925" spans="1:17" x14ac:dyDescent="0.25">
      <c r="A925" s="1" t="s">
        <v>296</v>
      </c>
      <c r="B925" s="31">
        <v>88.7</v>
      </c>
      <c r="C925" s="1" t="s">
        <v>20</v>
      </c>
      <c r="D925" s="2">
        <v>42705</v>
      </c>
      <c r="E925" s="2">
        <v>42705</v>
      </c>
      <c r="F925" s="17">
        <v>2949000</v>
      </c>
      <c r="G925" s="17">
        <v>33246.9</v>
      </c>
      <c r="H925" s="1"/>
      <c r="I925" s="1" t="s">
        <v>21</v>
      </c>
      <c r="J925" s="1" t="s">
        <v>22</v>
      </c>
      <c r="K925" s="1"/>
      <c r="L925" s="1" t="s">
        <v>295</v>
      </c>
      <c r="M925" s="1"/>
      <c r="N925" s="1" t="s">
        <v>297</v>
      </c>
      <c r="O925" s="31">
        <v>2</v>
      </c>
      <c r="P925" s="31">
        <v>1</v>
      </c>
      <c r="Q925" s="32">
        <v>2002</v>
      </c>
    </row>
    <row r="926" spans="1:17" x14ac:dyDescent="0.25">
      <c r="A926" s="1" t="s">
        <v>296</v>
      </c>
      <c r="B926" s="31">
        <v>52.6</v>
      </c>
      <c r="C926" s="1" t="s">
        <v>20</v>
      </c>
      <c r="D926" s="2">
        <v>42644</v>
      </c>
      <c r="E926" s="2">
        <v>42675</v>
      </c>
      <c r="F926" s="17">
        <v>1750000</v>
      </c>
      <c r="G926" s="17">
        <v>33269.96</v>
      </c>
      <c r="H926" s="1"/>
      <c r="I926" s="1" t="s">
        <v>21</v>
      </c>
      <c r="J926" s="1" t="s">
        <v>22</v>
      </c>
      <c r="K926" s="1"/>
      <c r="L926" s="1" t="s">
        <v>295</v>
      </c>
      <c r="M926" s="1"/>
      <c r="N926" s="1"/>
      <c r="O926" s="31">
        <v>9</v>
      </c>
      <c r="P926" s="31">
        <v>1</v>
      </c>
      <c r="Q926" s="32">
        <v>2004</v>
      </c>
    </row>
    <row r="927" spans="1:17" x14ac:dyDescent="0.25">
      <c r="A927" s="1" t="s">
        <v>304</v>
      </c>
      <c r="B927" s="31">
        <v>60.1</v>
      </c>
      <c r="C927" s="1" t="s">
        <v>20</v>
      </c>
      <c r="D927" s="2">
        <v>42736</v>
      </c>
      <c r="E927" s="2">
        <v>42736</v>
      </c>
      <c r="F927" s="17">
        <v>2000000</v>
      </c>
      <c r="G927" s="17">
        <v>33277.870000000003</v>
      </c>
      <c r="H927" s="1"/>
      <c r="I927" s="1" t="s">
        <v>21</v>
      </c>
      <c r="J927" s="1" t="s">
        <v>22</v>
      </c>
      <c r="K927" s="1"/>
      <c r="L927" s="1" t="s">
        <v>295</v>
      </c>
      <c r="M927" s="1"/>
      <c r="N927" s="1" t="s">
        <v>308</v>
      </c>
      <c r="O927" s="31">
        <v>4</v>
      </c>
      <c r="P927" s="31">
        <v>1</v>
      </c>
      <c r="Q927" s="32">
        <v>2003</v>
      </c>
    </row>
    <row r="928" spans="1:17" x14ac:dyDescent="0.25">
      <c r="A928" s="1" t="s">
        <v>306</v>
      </c>
      <c r="B928" s="31">
        <v>32.4</v>
      </c>
      <c r="C928" s="1" t="s">
        <v>20</v>
      </c>
      <c r="D928" s="2">
        <v>42675</v>
      </c>
      <c r="E928" s="2">
        <v>42705</v>
      </c>
      <c r="F928" s="17">
        <v>1080000</v>
      </c>
      <c r="G928" s="17">
        <v>33333.33</v>
      </c>
      <c r="H928" s="1"/>
      <c r="I928" s="1" t="s">
        <v>21</v>
      </c>
      <c r="J928" s="1" t="s">
        <v>32</v>
      </c>
      <c r="K928" s="1"/>
      <c r="L928" s="1" t="s">
        <v>295</v>
      </c>
      <c r="M928" s="1"/>
      <c r="N928" s="1" t="s">
        <v>128</v>
      </c>
      <c r="O928" s="31">
        <v>3</v>
      </c>
      <c r="P928" s="31">
        <v>1</v>
      </c>
      <c r="Q928" s="32">
        <v>2005</v>
      </c>
    </row>
    <row r="929" spans="1:17" x14ac:dyDescent="0.25">
      <c r="A929" s="1" t="s">
        <v>333</v>
      </c>
      <c r="B929" s="31">
        <v>33.6</v>
      </c>
      <c r="C929" s="1" t="s">
        <v>20</v>
      </c>
      <c r="D929" s="2">
        <v>42795</v>
      </c>
      <c r="E929" s="2">
        <v>42795</v>
      </c>
      <c r="F929" s="17">
        <v>1120000</v>
      </c>
      <c r="G929" s="17">
        <v>33333.33</v>
      </c>
      <c r="H929" s="1"/>
      <c r="I929" s="1" t="s">
        <v>21</v>
      </c>
      <c r="J929" s="1" t="s">
        <v>22</v>
      </c>
      <c r="K929" s="1"/>
      <c r="L929" s="1" t="s">
        <v>295</v>
      </c>
      <c r="M929" s="1"/>
      <c r="N929" s="1" t="s">
        <v>336</v>
      </c>
      <c r="O929" s="31">
        <v>3</v>
      </c>
      <c r="P929" s="31">
        <v>1</v>
      </c>
      <c r="Q929" s="32">
        <v>2001</v>
      </c>
    </row>
    <row r="930" spans="1:17" x14ac:dyDescent="0.25">
      <c r="A930" s="1" t="s">
        <v>312</v>
      </c>
      <c r="B930" s="31">
        <v>40.200000000000003</v>
      </c>
      <c r="C930" s="1" t="s">
        <v>20</v>
      </c>
      <c r="D930" s="2">
        <v>42675</v>
      </c>
      <c r="E930" s="2">
        <v>42675</v>
      </c>
      <c r="F930" s="17">
        <v>1350000</v>
      </c>
      <c r="G930" s="17">
        <v>33582.089999999997</v>
      </c>
      <c r="H930" s="1"/>
      <c r="I930" s="1" t="s">
        <v>21</v>
      </c>
      <c r="J930" s="1" t="s">
        <v>22</v>
      </c>
      <c r="K930" s="1"/>
      <c r="L930" s="1" t="s">
        <v>295</v>
      </c>
      <c r="M930" s="1"/>
      <c r="N930" s="1" t="s">
        <v>297</v>
      </c>
      <c r="O930" s="31">
        <v>1</v>
      </c>
      <c r="P930" s="31">
        <v>2</v>
      </c>
      <c r="Q930" s="32">
        <v>2010</v>
      </c>
    </row>
    <row r="931" spans="1:17" x14ac:dyDescent="0.25">
      <c r="A931" s="1" t="s">
        <v>312</v>
      </c>
      <c r="B931" s="31">
        <v>40.200000000000003</v>
      </c>
      <c r="C931" s="1" t="s">
        <v>20</v>
      </c>
      <c r="D931" s="2">
        <v>42675</v>
      </c>
      <c r="E931" s="2">
        <v>42675</v>
      </c>
      <c r="F931" s="17">
        <v>1350000</v>
      </c>
      <c r="G931" s="17">
        <v>33582.089999999997</v>
      </c>
      <c r="H931" s="1"/>
      <c r="I931" s="1" t="s">
        <v>21</v>
      </c>
      <c r="J931" s="1" t="s">
        <v>22</v>
      </c>
      <c r="K931" s="1"/>
      <c r="L931" s="1" t="s">
        <v>295</v>
      </c>
      <c r="M931" s="1"/>
      <c r="N931" s="1" t="s">
        <v>297</v>
      </c>
      <c r="O931" s="31">
        <v>1</v>
      </c>
      <c r="P931" s="31">
        <v>2</v>
      </c>
      <c r="Q931" s="32">
        <v>2010</v>
      </c>
    </row>
    <row r="932" spans="1:17" x14ac:dyDescent="0.25">
      <c r="A932" s="1" t="s">
        <v>316</v>
      </c>
      <c r="B932" s="31">
        <v>27.8</v>
      </c>
      <c r="C932" s="1" t="s">
        <v>20</v>
      </c>
      <c r="D932" s="2">
        <v>42767</v>
      </c>
      <c r="E932" s="2">
        <v>42795</v>
      </c>
      <c r="F932" s="17">
        <v>937500</v>
      </c>
      <c r="G932" s="17">
        <v>33723.019999999997</v>
      </c>
      <c r="H932" s="1"/>
      <c r="I932" s="1" t="s">
        <v>21</v>
      </c>
      <c r="J932" s="1" t="s">
        <v>22</v>
      </c>
      <c r="K932" s="1"/>
      <c r="L932" s="1" t="s">
        <v>295</v>
      </c>
      <c r="M932" s="1"/>
      <c r="N932" s="1" t="s">
        <v>126</v>
      </c>
      <c r="O932" s="31">
        <v>2</v>
      </c>
      <c r="P932" s="31">
        <v>1</v>
      </c>
      <c r="Q932" s="32">
        <v>2017</v>
      </c>
    </row>
    <row r="933" spans="1:17" x14ac:dyDescent="0.25">
      <c r="A933" s="1" t="s">
        <v>304</v>
      </c>
      <c r="B933" s="31">
        <v>31.1</v>
      </c>
      <c r="C933" s="1" t="s">
        <v>20</v>
      </c>
      <c r="D933" s="2">
        <v>42767</v>
      </c>
      <c r="E933" s="2">
        <v>42767</v>
      </c>
      <c r="F933" s="17">
        <v>1050000</v>
      </c>
      <c r="G933" s="17">
        <v>33762.06</v>
      </c>
      <c r="H933" s="1"/>
      <c r="I933" s="1" t="s">
        <v>21</v>
      </c>
      <c r="J933" s="1" t="s">
        <v>22</v>
      </c>
      <c r="K933" s="1"/>
      <c r="L933" s="1" t="s">
        <v>295</v>
      </c>
      <c r="M933" s="1"/>
      <c r="N933" s="1" t="s">
        <v>194</v>
      </c>
      <c r="O933" s="31">
        <v>3</v>
      </c>
      <c r="P933" s="31">
        <v>1</v>
      </c>
      <c r="Q933" s="32">
        <v>2006</v>
      </c>
    </row>
    <row r="934" spans="1:17" x14ac:dyDescent="0.25">
      <c r="A934" s="1" t="s">
        <v>304</v>
      </c>
      <c r="B934" s="31">
        <v>45</v>
      </c>
      <c r="C934" s="1" t="s">
        <v>20</v>
      </c>
      <c r="D934" s="2">
        <v>42795</v>
      </c>
      <c r="E934" s="2">
        <v>42795</v>
      </c>
      <c r="F934" s="17">
        <v>1520000</v>
      </c>
      <c r="G934" s="17">
        <v>33777.78</v>
      </c>
      <c r="H934" s="1"/>
      <c r="I934" s="1" t="s">
        <v>21</v>
      </c>
      <c r="J934" s="1" t="s">
        <v>22</v>
      </c>
      <c r="K934" s="1"/>
      <c r="L934" s="1" t="s">
        <v>295</v>
      </c>
      <c r="M934" s="1"/>
      <c r="N934" s="1" t="s">
        <v>194</v>
      </c>
      <c r="O934" s="31">
        <v>2</v>
      </c>
      <c r="P934" s="31">
        <v>1</v>
      </c>
      <c r="Q934" s="32">
        <v>2004</v>
      </c>
    </row>
    <row r="935" spans="1:17" x14ac:dyDescent="0.25">
      <c r="A935" s="1" t="s">
        <v>309</v>
      </c>
      <c r="B935" s="31">
        <v>68.2</v>
      </c>
      <c r="C935" s="1" t="s">
        <v>20</v>
      </c>
      <c r="D935" s="2">
        <v>42675</v>
      </c>
      <c r="E935" s="2">
        <v>42705</v>
      </c>
      <c r="F935" s="17">
        <v>2320000</v>
      </c>
      <c r="G935" s="17">
        <v>34017.599999999999</v>
      </c>
      <c r="H935" s="1"/>
      <c r="I935" s="1" t="s">
        <v>21</v>
      </c>
      <c r="J935" s="1" t="s">
        <v>22</v>
      </c>
      <c r="K935" s="1"/>
      <c r="L935" s="1" t="s">
        <v>295</v>
      </c>
      <c r="M935" s="1"/>
      <c r="N935" s="1" t="s">
        <v>311</v>
      </c>
      <c r="O935" s="31">
        <v>3</v>
      </c>
      <c r="P935" s="31">
        <v>1</v>
      </c>
      <c r="Q935" s="32">
        <v>2012</v>
      </c>
    </row>
    <row r="936" spans="1:17" x14ac:dyDescent="0.25">
      <c r="A936" s="1" t="s">
        <v>305</v>
      </c>
      <c r="B936" s="31">
        <v>43.5</v>
      </c>
      <c r="C936" s="1" t="s">
        <v>20</v>
      </c>
      <c r="D936" s="2">
        <v>42705</v>
      </c>
      <c r="E936" s="2">
        <v>42705</v>
      </c>
      <c r="F936" s="17">
        <v>1500000</v>
      </c>
      <c r="G936" s="17">
        <v>34482.76</v>
      </c>
      <c r="H936" s="1"/>
      <c r="I936" s="1" t="s">
        <v>21</v>
      </c>
      <c r="J936" s="1" t="s">
        <v>22</v>
      </c>
      <c r="K936" s="1"/>
      <c r="L936" s="1" t="s">
        <v>295</v>
      </c>
      <c r="M936" s="1"/>
      <c r="N936" s="1" t="s">
        <v>324</v>
      </c>
      <c r="O936" s="31">
        <v>3</v>
      </c>
      <c r="P936" s="31">
        <v>1</v>
      </c>
      <c r="Q936" s="32">
        <v>2003</v>
      </c>
    </row>
    <row r="937" spans="1:17" x14ac:dyDescent="0.25">
      <c r="A937" s="1" t="s">
        <v>328</v>
      </c>
      <c r="B937" s="31">
        <v>44.8</v>
      </c>
      <c r="C937" s="1" t="s">
        <v>20</v>
      </c>
      <c r="D937" s="2">
        <v>42795</v>
      </c>
      <c r="E937" s="2">
        <v>42795</v>
      </c>
      <c r="F937" s="17">
        <v>1550000</v>
      </c>
      <c r="G937" s="17">
        <v>34598.21</v>
      </c>
      <c r="H937" s="1"/>
      <c r="I937" s="1" t="s">
        <v>21</v>
      </c>
      <c r="J937" s="1" t="s">
        <v>22</v>
      </c>
      <c r="K937" s="1"/>
      <c r="L937" s="1" t="s">
        <v>295</v>
      </c>
      <c r="M937" s="1"/>
      <c r="N937" s="1" t="s">
        <v>75</v>
      </c>
      <c r="O937" s="31">
        <v>2</v>
      </c>
      <c r="P937" s="31">
        <v>2</v>
      </c>
      <c r="Q937" s="32">
        <v>2004</v>
      </c>
    </row>
    <row r="938" spans="1:17" x14ac:dyDescent="0.25">
      <c r="A938" s="1" t="s">
        <v>316</v>
      </c>
      <c r="B938" s="31">
        <v>30.9</v>
      </c>
      <c r="C938" s="1" t="s">
        <v>20</v>
      </c>
      <c r="D938" s="2">
        <v>42705</v>
      </c>
      <c r="E938" s="2">
        <v>42705</v>
      </c>
      <c r="F938" s="17">
        <v>1070000</v>
      </c>
      <c r="G938" s="17">
        <v>34627.83</v>
      </c>
      <c r="H938" s="1"/>
      <c r="I938" s="1" t="s">
        <v>21</v>
      </c>
      <c r="J938" s="1" t="s">
        <v>22</v>
      </c>
      <c r="K938" s="1"/>
      <c r="L938" s="1" t="s">
        <v>295</v>
      </c>
      <c r="M938" s="1"/>
      <c r="N938" s="1" t="s">
        <v>128</v>
      </c>
      <c r="O938" s="31">
        <v>2</v>
      </c>
      <c r="P938" s="31">
        <v>1</v>
      </c>
      <c r="Q938" s="32">
        <v>2006</v>
      </c>
    </row>
    <row r="939" spans="1:17" x14ac:dyDescent="0.25">
      <c r="A939" s="1" t="s">
        <v>321</v>
      </c>
      <c r="B939" s="31">
        <v>46.2</v>
      </c>
      <c r="C939" s="1" t="s">
        <v>20</v>
      </c>
      <c r="D939" s="2">
        <v>42644</v>
      </c>
      <c r="E939" s="2">
        <v>42644</v>
      </c>
      <c r="F939" s="17">
        <v>1600000</v>
      </c>
      <c r="G939" s="17">
        <v>34632.03</v>
      </c>
      <c r="H939" s="1"/>
      <c r="I939" s="1" t="s">
        <v>21</v>
      </c>
      <c r="J939" s="1" t="s">
        <v>22</v>
      </c>
      <c r="K939" s="1"/>
      <c r="L939" s="1" t="s">
        <v>295</v>
      </c>
      <c r="M939" s="1"/>
      <c r="N939" s="1" t="s">
        <v>194</v>
      </c>
      <c r="O939" s="31">
        <v>3</v>
      </c>
      <c r="P939" s="31">
        <v>1</v>
      </c>
      <c r="Q939" s="32">
        <v>2009</v>
      </c>
    </row>
    <row r="940" spans="1:17" x14ac:dyDescent="0.25">
      <c r="A940" s="1" t="s">
        <v>326</v>
      </c>
      <c r="B940" s="31">
        <v>72.8</v>
      </c>
      <c r="C940" s="1" t="s">
        <v>20</v>
      </c>
      <c r="D940" s="2">
        <v>42795</v>
      </c>
      <c r="E940" s="2">
        <v>42795</v>
      </c>
      <c r="F940" s="17">
        <v>2556800</v>
      </c>
      <c r="G940" s="17">
        <v>35120.879999999997</v>
      </c>
      <c r="H940" s="1"/>
      <c r="I940" s="1" t="s">
        <v>21</v>
      </c>
      <c r="J940" s="1" t="s">
        <v>22</v>
      </c>
      <c r="K940" s="1"/>
      <c r="L940" s="1" t="s">
        <v>295</v>
      </c>
      <c r="M940" s="1"/>
      <c r="N940" s="1" t="s">
        <v>329</v>
      </c>
      <c r="O940" s="31">
        <v>1</v>
      </c>
      <c r="P940" s="31">
        <v>1</v>
      </c>
      <c r="Q940" s="32">
        <v>2016</v>
      </c>
    </row>
    <row r="941" spans="1:17" x14ac:dyDescent="0.25">
      <c r="A941" s="1" t="s">
        <v>309</v>
      </c>
      <c r="B941" s="31">
        <v>40.4</v>
      </c>
      <c r="C941" s="1" t="s">
        <v>20</v>
      </c>
      <c r="D941" s="2">
        <v>42675</v>
      </c>
      <c r="E941" s="2">
        <v>42675</v>
      </c>
      <c r="F941" s="17">
        <v>1430000</v>
      </c>
      <c r="G941" s="17">
        <v>35396.04</v>
      </c>
      <c r="H941" s="1"/>
      <c r="I941" s="1" t="s">
        <v>21</v>
      </c>
      <c r="J941" s="1" t="s">
        <v>22</v>
      </c>
      <c r="K941" s="1"/>
      <c r="L941" s="1" t="s">
        <v>295</v>
      </c>
      <c r="M941" s="1"/>
      <c r="N941" s="1" t="s">
        <v>323</v>
      </c>
      <c r="O941" s="31">
        <v>3</v>
      </c>
      <c r="P941" s="31">
        <v>2</v>
      </c>
      <c r="Q941" s="32">
        <v>2007</v>
      </c>
    </row>
    <row r="942" spans="1:17" x14ac:dyDescent="0.25">
      <c r="A942" s="1" t="s">
        <v>309</v>
      </c>
      <c r="B942" s="31">
        <v>40.4</v>
      </c>
      <c r="C942" s="1" t="s">
        <v>20</v>
      </c>
      <c r="D942" s="2">
        <v>42675</v>
      </c>
      <c r="E942" s="2">
        <v>42675</v>
      </c>
      <c r="F942" s="17">
        <v>1430000</v>
      </c>
      <c r="G942" s="17">
        <v>35396.04</v>
      </c>
      <c r="H942" s="1"/>
      <c r="I942" s="1" t="s">
        <v>21</v>
      </c>
      <c r="J942" s="1" t="s">
        <v>22</v>
      </c>
      <c r="K942" s="1"/>
      <c r="L942" s="1" t="s">
        <v>295</v>
      </c>
      <c r="M942" s="1"/>
      <c r="N942" s="1" t="s">
        <v>323</v>
      </c>
      <c r="O942" s="31">
        <v>3</v>
      </c>
      <c r="P942" s="31">
        <v>2</v>
      </c>
      <c r="Q942" s="32">
        <v>2007</v>
      </c>
    </row>
    <row r="943" spans="1:17" x14ac:dyDescent="0.25">
      <c r="A943" s="1" t="s">
        <v>310</v>
      </c>
      <c r="B943" s="31">
        <v>33.799999999999997</v>
      </c>
      <c r="C943" s="1" t="s">
        <v>20</v>
      </c>
      <c r="D943" s="2">
        <v>42644</v>
      </c>
      <c r="E943" s="2">
        <v>42644</v>
      </c>
      <c r="F943" s="17">
        <v>1210000</v>
      </c>
      <c r="G943" s="17">
        <v>35798.82</v>
      </c>
      <c r="H943" s="1"/>
      <c r="I943" s="1" t="s">
        <v>21</v>
      </c>
      <c r="J943" s="1" t="s">
        <v>22</v>
      </c>
      <c r="K943" s="1"/>
      <c r="L943" s="1" t="s">
        <v>295</v>
      </c>
      <c r="M943" s="1"/>
      <c r="N943" s="1" t="s">
        <v>194</v>
      </c>
      <c r="O943" s="31">
        <v>4</v>
      </c>
      <c r="P943" s="31">
        <v>1</v>
      </c>
      <c r="Q943" s="32">
        <v>2004</v>
      </c>
    </row>
    <row r="944" spans="1:17" x14ac:dyDescent="0.25">
      <c r="A944" s="1" t="s">
        <v>326</v>
      </c>
      <c r="B944" s="31">
        <v>35</v>
      </c>
      <c r="C944" s="1" t="s">
        <v>20</v>
      </c>
      <c r="D944" s="2">
        <v>42767</v>
      </c>
      <c r="E944" s="2">
        <v>42767</v>
      </c>
      <c r="F944" s="17">
        <v>1258000</v>
      </c>
      <c r="G944" s="17">
        <v>35942.86</v>
      </c>
      <c r="H944" s="1"/>
      <c r="I944" s="1" t="s">
        <v>21</v>
      </c>
      <c r="J944" s="1" t="s">
        <v>22</v>
      </c>
      <c r="K944" s="1"/>
      <c r="L944" s="1" t="s">
        <v>295</v>
      </c>
      <c r="M944" s="1"/>
      <c r="N944" s="1" t="s">
        <v>329</v>
      </c>
      <c r="O944" s="31">
        <v>1</v>
      </c>
      <c r="P944" s="31">
        <v>1</v>
      </c>
      <c r="Q944" s="32">
        <v>2016</v>
      </c>
    </row>
    <row r="945" spans="1:17" x14ac:dyDescent="0.25">
      <c r="A945" s="1" t="s">
        <v>296</v>
      </c>
      <c r="B945" s="31">
        <v>35.6</v>
      </c>
      <c r="C945" s="1" t="s">
        <v>20</v>
      </c>
      <c r="D945" s="2">
        <v>42705</v>
      </c>
      <c r="E945" s="2">
        <v>42705</v>
      </c>
      <c r="F945" s="17">
        <v>1287828</v>
      </c>
      <c r="G945" s="17">
        <v>36174.94</v>
      </c>
      <c r="H945" s="1"/>
      <c r="I945" s="1" t="s">
        <v>21</v>
      </c>
      <c r="J945" s="1" t="s">
        <v>22</v>
      </c>
      <c r="K945" s="1"/>
      <c r="L945" s="1" t="s">
        <v>295</v>
      </c>
      <c r="M945" s="1"/>
      <c r="N945" s="1" t="s">
        <v>297</v>
      </c>
      <c r="O945" s="31">
        <v>2</v>
      </c>
      <c r="P945" s="31">
        <v>1</v>
      </c>
      <c r="Q945" s="32">
        <v>2005</v>
      </c>
    </row>
    <row r="946" spans="1:17" x14ac:dyDescent="0.25">
      <c r="A946" s="1" t="s">
        <v>326</v>
      </c>
      <c r="B946" s="31">
        <v>28.7</v>
      </c>
      <c r="C946" s="1" t="s">
        <v>20</v>
      </c>
      <c r="D946" s="2">
        <v>42767</v>
      </c>
      <c r="E946" s="2">
        <v>42767</v>
      </c>
      <c r="F946" s="17">
        <v>1043800</v>
      </c>
      <c r="G946" s="17">
        <v>36369.339999999997</v>
      </c>
      <c r="H946" s="1"/>
      <c r="I946" s="1" t="s">
        <v>21</v>
      </c>
      <c r="J946" s="1" t="s">
        <v>22</v>
      </c>
      <c r="K946" s="1"/>
      <c r="L946" s="1" t="s">
        <v>295</v>
      </c>
      <c r="M946" s="1"/>
      <c r="N946" s="1" t="s">
        <v>329</v>
      </c>
      <c r="O946" s="31">
        <v>1</v>
      </c>
      <c r="P946" s="31">
        <v>1</v>
      </c>
      <c r="Q946" s="32">
        <v>2016</v>
      </c>
    </row>
    <row r="947" spans="1:17" x14ac:dyDescent="0.25">
      <c r="A947" s="1" t="s">
        <v>309</v>
      </c>
      <c r="B947" s="31">
        <v>40.5</v>
      </c>
      <c r="C947" s="1" t="s">
        <v>20</v>
      </c>
      <c r="D947" s="2">
        <v>42644</v>
      </c>
      <c r="E947" s="2">
        <v>42644</v>
      </c>
      <c r="F947" s="17">
        <v>1500000</v>
      </c>
      <c r="G947" s="17">
        <v>37037.040000000001</v>
      </c>
      <c r="H947" s="1"/>
      <c r="I947" s="1" t="s">
        <v>21</v>
      </c>
      <c r="J947" s="1" t="s">
        <v>22</v>
      </c>
      <c r="K947" s="1"/>
      <c r="L947" s="1" t="s">
        <v>295</v>
      </c>
      <c r="M947" s="1"/>
      <c r="N947" s="1" t="s">
        <v>194</v>
      </c>
      <c r="O947" s="31">
        <v>4</v>
      </c>
      <c r="P947" s="31">
        <v>1</v>
      </c>
      <c r="Q947" s="32">
        <v>2003</v>
      </c>
    </row>
    <row r="948" spans="1:17" x14ac:dyDescent="0.25">
      <c r="A948" s="1" t="s">
        <v>298</v>
      </c>
      <c r="B948" s="31">
        <v>49.9</v>
      </c>
      <c r="C948" s="1" t="s">
        <v>20</v>
      </c>
      <c r="D948" s="2">
        <v>42644</v>
      </c>
      <c r="E948" s="2">
        <v>42644</v>
      </c>
      <c r="F948" s="17">
        <v>1880000</v>
      </c>
      <c r="G948" s="17">
        <v>37675.35</v>
      </c>
      <c r="H948" s="1"/>
      <c r="I948" s="1" t="s">
        <v>21</v>
      </c>
      <c r="J948" s="1" t="s">
        <v>32</v>
      </c>
      <c r="K948" s="1"/>
      <c r="L948" s="1" t="s">
        <v>295</v>
      </c>
      <c r="M948" s="1"/>
      <c r="N948" s="1" t="s">
        <v>311</v>
      </c>
      <c r="O948" s="31">
        <v>5</v>
      </c>
      <c r="P948" s="31">
        <v>2</v>
      </c>
      <c r="Q948" s="32">
        <v>2002</v>
      </c>
    </row>
    <row r="949" spans="1:17" x14ac:dyDescent="0.25">
      <c r="A949" s="1" t="s">
        <v>298</v>
      </c>
      <c r="B949" s="31">
        <v>49.9</v>
      </c>
      <c r="C949" s="1" t="s">
        <v>20</v>
      </c>
      <c r="D949" s="2">
        <v>42644</v>
      </c>
      <c r="E949" s="2">
        <v>42644</v>
      </c>
      <c r="F949" s="17">
        <v>1880000</v>
      </c>
      <c r="G949" s="17">
        <v>37675.35</v>
      </c>
      <c r="H949" s="1"/>
      <c r="I949" s="1" t="s">
        <v>21</v>
      </c>
      <c r="J949" s="1" t="s">
        <v>32</v>
      </c>
      <c r="K949" s="1"/>
      <c r="L949" s="1" t="s">
        <v>295</v>
      </c>
      <c r="M949" s="1"/>
      <c r="N949" s="1" t="s">
        <v>311</v>
      </c>
      <c r="O949" s="31">
        <v>5</v>
      </c>
      <c r="P949" s="31">
        <v>2</v>
      </c>
      <c r="Q949" s="32">
        <v>2002</v>
      </c>
    </row>
    <row r="950" spans="1:17" x14ac:dyDescent="0.25">
      <c r="A950" s="1" t="s">
        <v>312</v>
      </c>
      <c r="B950" s="31">
        <v>59.8</v>
      </c>
      <c r="C950" s="1" t="s">
        <v>20</v>
      </c>
      <c r="D950" s="2">
        <v>42705</v>
      </c>
      <c r="E950" s="2">
        <v>42705</v>
      </c>
      <c r="F950" s="17">
        <v>2280000</v>
      </c>
      <c r="G950" s="17">
        <v>38127.089999999997</v>
      </c>
      <c r="H950" s="1"/>
      <c r="I950" s="1" t="s">
        <v>21</v>
      </c>
      <c r="J950" s="1" t="s">
        <v>22</v>
      </c>
      <c r="K950" s="1"/>
      <c r="L950" s="1" t="s">
        <v>295</v>
      </c>
      <c r="M950" s="1"/>
      <c r="N950" s="1" t="s">
        <v>297</v>
      </c>
      <c r="O950" s="31">
        <v>5</v>
      </c>
      <c r="P950" s="31">
        <v>1</v>
      </c>
      <c r="Q950" s="32">
        <v>2005</v>
      </c>
    </row>
    <row r="951" spans="1:17" x14ac:dyDescent="0.25">
      <c r="A951" s="1" t="s">
        <v>300</v>
      </c>
      <c r="B951" s="31">
        <v>66.900000000000006</v>
      </c>
      <c r="C951" s="1" t="s">
        <v>20</v>
      </c>
      <c r="D951" s="2">
        <v>42675</v>
      </c>
      <c r="E951" s="2">
        <v>42675</v>
      </c>
      <c r="F951" s="17">
        <v>2600000</v>
      </c>
      <c r="G951" s="17">
        <v>38863.980000000003</v>
      </c>
      <c r="H951" s="1"/>
      <c r="I951" s="1" t="s">
        <v>21</v>
      </c>
      <c r="J951" s="1" t="s">
        <v>32</v>
      </c>
      <c r="K951" s="1"/>
      <c r="L951" s="1" t="s">
        <v>295</v>
      </c>
      <c r="M951" s="1"/>
      <c r="N951" s="1" t="s">
        <v>299</v>
      </c>
      <c r="O951" s="31">
        <v>6</v>
      </c>
      <c r="P951" s="31">
        <v>1</v>
      </c>
      <c r="Q951" s="32">
        <v>2004</v>
      </c>
    </row>
    <row r="952" spans="1:17" x14ac:dyDescent="0.25">
      <c r="A952" s="1" t="s">
        <v>309</v>
      </c>
      <c r="B952" s="31">
        <v>29.8</v>
      </c>
      <c r="C952" s="1" t="s">
        <v>20</v>
      </c>
      <c r="D952" s="2">
        <v>42767</v>
      </c>
      <c r="E952" s="2">
        <v>42767</v>
      </c>
      <c r="F952" s="17">
        <v>1200000</v>
      </c>
      <c r="G952" s="17">
        <v>40268.46</v>
      </c>
      <c r="H952" s="1"/>
      <c r="I952" s="1" t="s">
        <v>21</v>
      </c>
      <c r="J952" s="1" t="s">
        <v>22</v>
      </c>
      <c r="K952" s="1"/>
      <c r="L952" s="1" t="s">
        <v>295</v>
      </c>
      <c r="M952" s="1"/>
      <c r="N952" s="1" t="s">
        <v>194</v>
      </c>
      <c r="O952" s="31">
        <v>4</v>
      </c>
      <c r="P952" s="31">
        <v>1</v>
      </c>
      <c r="Q952" s="32">
        <v>2007</v>
      </c>
    </row>
    <row r="953" spans="1:17" s="9" customFormat="1" ht="15.75" thickBot="1" x14ac:dyDescent="0.3">
      <c r="A953" s="25"/>
      <c r="B953" s="33"/>
      <c r="C953" s="25"/>
      <c r="D953" s="25"/>
      <c r="E953" s="25"/>
      <c r="F953" s="26"/>
      <c r="G953" s="26">
        <f>SUM(G800:G952)/153</f>
        <v>30149.771895424834</v>
      </c>
      <c r="H953" s="25"/>
      <c r="I953" s="25"/>
      <c r="J953" s="25"/>
      <c r="K953" s="25"/>
      <c r="L953" s="25"/>
      <c r="M953" s="25"/>
      <c r="N953" s="25"/>
      <c r="O953" s="33"/>
      <c r="P953" s="33"/>
      <c r="Q953" s="34"/>
    </row>
    <row r="954" spans="1:17" s="6" customFormat="1" x14ac:dyDescent="0.25">
      <c r="A954" s="4" t="s">
        <v>337</v>
      </c>
      <c r="B954" s="35"/>
      <c r="C954" s="5"/>
      <c r="D954" s="5"/>
      <c r="E954" s="5"/>
      <c r="F954" s="19"/>
      <c r="G954" s="19"/>
      <c r="H954" s="5"/>
      <c r="I954" s="5"/>
      <c r="J954" s="5"/>
      <c r="K954" s="5"/>
      <c r="L954" s="5"/>
      <c r="M954" s="5"/>
      <c r="N954" s="5"/>
      <c r="O954" s="35"/>
      <c r="P954" s="35"/>
      <c r="Q954" s="36"/>
    </row>
    <row r="955" spans="1:17" x14ac:dyDescent="0.25">
      <c r="A955" s="1" t="s">
        <v>349</v>
      </c>
      <c r="B955" s="31">
        <v>48.6</v>
      </c>
      <c r="C955" s="1" t="s">
        <v>20</v>
      </c>
      <c r="D955" s="1">
        <v>42736</v>
      </c>
      <c r="E955" s="1">
        <v>42767</v>
      </c>
      <c r="F955" s="17">
        <v>1070000</v>
      </c>
      <c r="G955" s="17">
        <v>22016.46</v>
      </c>
      <c r="H955" s="1"/>
      <c r="I955" s="1" t="s">
        <v>21</v>
      </c>
      <c r="J955" s="1" t="s">
        <v>32</v>
      </c>
      <c r="K955" s="1"/>
      <c r="L955" s="1" t="s">
        <v>337</v>
      </c>
      <c r="M955" s="1"/>
      <c r="N955" s="1" t="s">
        <v>340</v>
      </c>
      <c r="O955" s="31">
        <v>4</v>
      </c>
      <c r="P955" s="31">
        <v>2</v>
      </c>
      <c r="Q955" s="32">
        <v>2009</v>
      </c>
    </row>
    <row r="956" spans="1:17" x14ac:dyDescent="0.25">
      <c r="A956" s="1" t="s">
        <v>349</v>
      </c>
      <c r="B956" s="31">
        <v>48.6</v>
      </c>
      <c r="C956" s="1" t="s">
        <v>20</v>
      </c>
      <c r="D956" s="1">
        <v>42736</v>
      </c>
      <c r="E956" s="1">
        <v>42767</v>
      </c>
      <c r="F956" s="17">
        <v>1070000</v>
      </c>
      <c r="G956" s="17">
        <v>22016.46</v>
      </c>
      <c r="H956" s="1"/>
      <c r="I956" s="1" t="s">
        <v>21</v>
      </c>
      <c r="J956" s="1" t="s">
        <v>32</v>
      </c>
      <c r="K956" s="1"/>
      <c r="L956" s="1" t="s">
        <v>337</v>
      </c>
      <c r="M956" s="1"/>
      <c r="N956" s="1" t="s">
        <v>340</v>
      </c>
      <c r="O956" s="31">
        <v>4</v>
      </c>
      <c r="P956" s="31">
        <v>2</v>
      </c>
      <c r="Q956" s="32">
        <v>2009</v>
      </c>
    </row>
    <row r="957" spans="1:17" x14ac:dyDescent="0.25">
      <c r="A957" s="1" t="s">
        <v>338</v>
      </c>
      <c r="B957" s="31">
        <v>32.4</v>
      </c>
      <c r="C957" s="1" t="s">
        <v>20</v>
      </c>
      <c r="D957" s="1">
        <v>42767</v>
      </c>
      <c r="E957" s="1">
        <v>42767</v>
      </c>
      <c r="F957" s="17">
        <v>720000</v>
      </c>
      <c r="G957" s="17">
        <v>22222.22</v>
      </c>
      <c r="H957" s="1"/>
      <c r="I957" s="1" t="s">
        <v>21</v>
      </c>
      <c r="J957" s="1" t="s">
        <v>32</v>
      </c>
      <c r="K957" s="1"/>
      <c r="L957" s="1" t="s">
        <v>337</v>
      </c>
      <c r="M957" s="1"/>
      <c r="N957" s="1" t="s">
        <v>354</v>
      </c>
      <c r="O957" s="31">
        <v>1</v>
      </c>
      <c r="P957" s="31">
        <v>1</v>
      </c>
      <c r="Q957" s="32">
        <v>2013</v>
      </c>
    </row>
    <row r="958" spans="1:17" x14ac:dyDescent="0.25">
      <c r="A958" s="1" t="s">
        <v>347</v>
      </c>
      <c r="B958" s="31">
        <v>34.9</v>
      </c>
      <c r="C958" s="1" t="s">
        <v>20</v>
      </c>
      <c r="D958" s="1">
        <v>42675</v>
      </c>
      <c r="E958" s="1">
        <v>42675</v>
      </c>
      <c r="F958" s="17">
        <v>776000</v>
      </c>
      <c r="G958" s="17">
        <v>22234.959999999999</v>
      </c>
      <c r="H958" s="1"/>
      <c r="I958" s="1" t="s">
        <v>21</v>
      </c>
      <c r="J958" s="1" t="s">
        <v>22</v>
      </c>
      <c r="K958" s="1"/>
      <c r="L958" s="1" t="s">
        <v>337</v>
      </c>
      <c r="M958" s="1"/>
      <c r="N958" s="1" t="s">
        <v>350</v>
      </c>
      <c r="O958" s="31">
        <v>3</v>
      </c>
      <c r="P958" s="31">
        <v>1</v>
      </c>
      <c r="Q958" s="32">
        <v>2001</v>
      </c>
    </row>
    <row r="959" spans="1:17" x14ac:dyDescent="0.25">
      <c r="A959" s="1" t="s">
        <v>349</v>
      </c>
      <c r="B959" s="31">
        <v>18.2</v>
      </c>
      <c r="C959" s="1" t="s">
        <v>20</v>
      </c>
      <c r="D959" s="1">
        <v>42767</v>
      </c>
      <c r="E959" s="1">
        <v>42767</v>
      </c>
      <c r="F959" s="17">
        <v>408026</v>
      </c>
      <c r="G959" s="17">
        <v>22419.01</v>
      </c>
      <c r="H959" s="1"/>
      <c r="I959" s="1" t="s">
        <v>21</v>
      </c>
      <c r="J959" s="1" t="s">
        <v>22</v>
      </c>
      <c r="K959" s="1"/>
      <c r="L959" s="1" t="s">
        <v>337</v>
      </c>
      <c r="M959" s="1"/>
      <c r="N959" s="1" t="s">
        <v>128</v>
      </c>
      <c r="O959" s="31">
        <v>5</v>
      </c>
      <c r="P959" s="31">
        <v>1</v>
      </c>
      <c r="Q959" s="32">
        <v>2017</v>
      </c>
    </row>
    <row r="960" spans="1:17" x14ac:dyDescent="0.25">
      <c r="A960" s="1" t="s">
        <v>348</v>
      </c>
      <c r="B960" s="31">
        <v>62.4</v>
      </c>
      <c r="C960" s="1" t="s">
        <v>20</v>
      </c>
      <c r="D960" s="1">
        <v>42644</v>
      </c>
      <c r="E960" s="1">
        <v>42644</v>
      </c>
      <c r="F960" s="17">
        <v>1400000</v>
      </c>
      <c r="G960" s="17">
        <v>22435.9</v>
      </c>
      <c r="H960" s="1"/>
      <c r="I960" s="1" t="s">
        <v>21</v>
      </c>
      <c r="J960" s="1" t="s">
        <v>22</v>
      </c>
      <c r="K960" s="1"/>
      <c r="L960" s="1" t="s">
        <v>337</v>
      </c>
      <c r="M960" s="1"/>
      <c r="N960" s="1" t="s">
        <v>345</v>
      </c>
      <c r="O960" s="31">
        <v>3</v>
      </c>
      <c r="P960" s="31">
        <v>1</v>
      </c>
      <c r="Q960" s="32">
        <v>2002</v>
      </c>
    </row>
    <row r="961" spans="1:17" x14ac:dyDescent="0.25">
      <c r="A961" s="1" t="s">
        <v>348</v>
      </c>
      <c r="B961" s="31">
        <v>62.3</v>
      </c>
      <c r="C961" s="1" t="s">
        <v>20</v>
      </c>
      <c r="D961" s="1">
        <v>42644</v>
      </c>
      <c r="E961" s="1">
        <v>42675</v>
      </c>
      <c r="F961" s="17">
        <v>1400000</v>
      </c>
      <c r="G961" s="17">
        <v>22471.91</v>
      </c>
      <c r="H961" s="1"/>
      <c r="I961" s="1" t="s">
        <v>21</v>
      </c>
      <c r="J961" s="1" t="s">
        <v>22</v>
      </c>
      <c r="K961" s="1"/>
      <c r="L961" s="1" t="s">
        <v>337</v>
      </c>
      <c r="M961" s="1"/>
      <c r="N961" s="1" t="s">
        <v>345</v>
      </c>
      <c r="O961" s="31">
        <v>4</v>
      </c>
      <c r="P961" s="31">
        <v>2</v>
      </c>
      <c r="Q961" s="32">
        <v>2015</v>
      </c>
    </row>
    <row r="962" spans="1:17" x14ac:dyDescent="0.25">
      <c r="A962" s="1" t="s">
        <v>348</v>
      </c>
      <c r="B962" s="31">
        <v>62.3</v>
      </c>
      <c r="C962" s="1" t="s">
        <v>20</v>
      </c>
      <c r="D962" s="1">
        <v>42644</v>
      </c>
      <c r="E962" s="1">
        <v>42675</v>
      </c>
      <c r="F962" s="17">
        <v>1400000</v>
      </c>
      <c r="G962" s="17">
        <v>22471.91</v>
      </c>
      <c r="H962" s="1"/>
      <c r="I962" s="1" t="s">
        <v>21</v>
      </c>
      <c r="J962" s="1" t="s">
        <v>22</v>
      </c>
      <c r="K962" s="1"/>
      <c r="L962" s="1" t="s">
        <v>337</v>
      </c>
      <c r="M962" s="1"/>
      <c r="N962" s="1" t="s">
        <v>345</v>
      </c>
      <c r="O962" s="31">
        <v>4</v>
      </c>
      <c r="P962" s="31">
        <v>2</v>
      </c>
      <c r="Q962" s="32">
        <v>2015</v>
      </c>
    </row>
    <row r="963" spans="1:17" x14ac:dyDescent="0.25">
      <c r="A963" s="1" t="s">
        <v>338</v>
      </c>
      <c r="B963" s="31">
        <v>48.9</v>
      </c>
      <c r="C963" s="1" t="s">
        <v>20</v>
      </c>
      <c r="D963" s="1">
        <v>42675</v>
      </c>
      <c r="E963" s="1">
        <v>42705</v>
      </c>
      <c r="F963" s="17">
        <v>1100000</v>
      </c>
      <c r="G963" s="17">
        <v>22494.89</v>
      </c>
      <c r="H963" s="1"/>
      <c r="I963" s="1" t="s">
        <v>21</v>
      </c>
      <c r="J963" s="1" t="s">
        <v>22</v>
      </c>
      <c r="K963" s="1"/>
      <c r="L963" s="1" t="s">
        <v>337</v>
      </c>
      <c r="M963" s="1"/>
      <c r="N963" s="1" t="s">
        <v>346</v>
      </c>
      <c r="O963" s="31">
        <v>6</v>
      </c>
      <c r="P963" s="31">
        <v>1</v>
      </c>
      <c r="Q963" s="32">
        <v>2016</v>
      </c>
    </row>
    <row r="964" spans="1:17" x14ac:dyDescent="0.25">
      <c r="A964" s="1" t="s">
        <v>341</v>
      </c>
      <c r="B964" s="31">
        <v>30.2</v>
      </c>
      <c r="C964" s="1" t="s">
        <v>20</v>
      </c>
      <c r="D964" s="1">
        <v>42614</v>
      </c>
      <c r="E964" s="1">
        <v>42644</v>
      </c>
      <c r="F964" s="17">
        <v>680000</v>
      </c>
      <c r="G964" s="17">
        <v>22516.560000000001</v>
      </c>
      <c r="H964" s="1"/>
      <c r="I964" s="1" t="s">
        <v>21</v>
      </c>
      <c r="J964" s="1" t="s">
        <v>22</v>
      </c>
      <c r="K964" s="1"/>
      <c r="L964" s="1" t="s">
        <v>337</v>
      </c>
      <c r="M964" s="1"/>
      <c r="N964" s="1" t="s">
        <v>345</v>
      </c>
      <c r="O964" s="31">
        <v>2</v>
      </c>
      <c r="P964" s="31">
        <v>1</v>
      </c>
      <c r="Q964" s="32">
        <v>2001</v>
      </c>
    </row>
    <row r="965" spans="1:17" x14ac:dyDescent="0.25">
      <c r="A965" s="1" t="s">
        <v>338</v>
      </c>
      <c r="B965" s="31">
        <v>70.900000000000006</v>
      </c>
      <c r="C965" s="1" t="s">
        <v>20</v>
      </c>
      <c r="D965" s="1">
        <v>42705</v>
      </c>
      <c r="E965" s="1">
        <v>42705</v>
      </c>
      <c r="F965" s="17">
        <v>1600000</v>
      </c>
      <c r="G965" s="17">
        <v>22567</v>
      </c>
      <c r="H965" s="1"/>
      <c r="I965" s="1" t="s">
        <v>21</v>
      </c>
      <c r="J965" s="1" t="s">
        <v>22</v>
      </c>
      <c r="K965" s="1"/>
      <c r="L965" s="1" t="s">
        <v>337</v>
      </c>
      <c r="M965" s="1"/>
      <c r="N965" s="1" t="s">
        <v>346</v>
      </c>
      <c r="O965" s="31">
        <v>7</v>
      </c>
      <c r="P965" s="31">
        <v>1</v>
      </c>
      <c r="Q965" s="32">
        <v>2007</v>
      </c>
    </row>
    <row r="966" spans="1:17" x14ac:dyDescent="0.25">
      <c r="A966" s="1" t="s">
        <v>339</v>
      </c>
      <c r="B966" s="31">
        <v>42</v>
      </c>
      <c r="C966" s="1" t="s">
        <v>20</v>
      </c>
      <c r="D966" s="1">
        <v>42736</v>
      </c>
      <c r="E966" s="1">
        <v>42736</v>
      </c>
      <c r="F966" s="17">
        <v>948000</v>
      </c>
      <c r="G966" s="17">
        <v>22571.43</v>
      </c>
      <c r="H966" s="1"/>
      <c r="I966" s="1" t="s">
        <v>21</v>
      </c>
      <c r="J966" s="1" t="s">
        <v>22</v>
      </c>
      <c r="K966" s="1"/>
      <c r="L966" s="1" t="s">
        <v>337</v>
      </c>
      <c r="M966" s="1"/>
      <c r="N966" s="1" t="s">
        <v>344</v>
      </c>
      <c r="O966" s="31">
        <v>4</v>
      </c>
      <c r="P966" s="31">
        <v>1</v>
      </c>
      <c r="Q966" s="32">
        <v>2002</v>
      </c>
    </row>
    <row r="967" spans="1:17" x14ac:dyDescent="0.25">
      <c r="A967" s="1" t="s">
        <v>349</v>
      </c>
      <c r="B967" s="31">
        <v>61</v>
      </c>
      <c r="C967" s="1" t="s">
        <v>20</v>
      </c>
      <c r="D967" s="1">
        <v>42795</v>
      </c>
      <c r="E967" s="1">
        <v>42795</v>
      </c>
      <c r="F967" s="17">
        <v>1400000</v>
      </c>
      <c r="G967" s="17">
        <v>22950.82</v>
      </c>
      <c r="H967" s="1"/>
      <c r="I967" s="1" t="s">
        <v>21</v>
      </c>
      <c r="J967" s="1" t="s">
        <v>32</v>
      </c>
      <c r="K967" s="1"/>
      <c r="L967" s="1" t="s">
        <v>337</v>
      </c>
      <c r="M967" s="1"/>
      <c r="N967" s="1" t="s">
        <v>128</v>
      </c>
      <c r="O967" s="31">
        <v>5</v>
      </c>
      <c r="P967" s="31">
        <v>2</v>
      </c>
      <c r="Q967" s="32">
        <v>2012</v>
      </c>
    </row>
    <row r="968" spans="1:17" x14ac:dyDescent="0.25">
      <c r="A968" s="1" t="s">
        <v>349</v>
      </c>
      <c r="B968" s="31">
        <v>61</v>
      </c>
      <c r="C968" s="1" t="s">
        <v>20</v>
      </c>
      <c r="D968" s="1">
        <v>42795</v>
      </c>
      <c r="E968" s="1">
        <v>42795</v>
      </c>
      <c r="F968" s="17">
        <v>1400000</v>
      </c>
      <c r="G968" s="17">
        <v>22950.82</v>
      </c>
      <c r="H968" s="1"/>
      <c r="I968" s="1" t="s">
        <v>21</v>
      </c>
      <c r="J968" s="1" t="s">
        <v>32</v>
      </c>
      <c r="K968" s="1"/>
      <c r="L968" s="1" t="s">
        <v>337</v>
      </c>
      <c r="M968" s="1"/>
      <c r="N968" s="1" t="s">
        <v>128</v>
      </c>
      <c r="O968" s="31">
        <v>5</v>
      </c>
      <c r="P968" s="31">
        <v>2</v>
      </c>
      <c r="Q968" s="32">
        <v>2012</v>
      </c>
    </row>
    <row r="969" spans="1:17" x14ac:dyDescent="0.25">
      <c r="A969" s="1" t="s">
        <v>348</v>
      </c>
      <c r="B969" s="31">
        <v>61.7</v>
      </c>
      <c r="C969" s="1" t="s">
        <v>20</v>
      </c>
      <c r="D969" s="1">
        <v>42644</v>
      </c>
      <c r="E969" s="1">
        <v>42675</v>
      </c>
      <c r="F969" s="17">
        <v>1420000</v>
      </c>
      <c r="G969" s="17">
        <v>23014.59</v>
      </c>
      <c r="H969" s="1"/>
      <c r="I969" s="1" t="s">
        <v>21</v>
      </c>
      <c r="J969" s="1" t="s">
        <v>22</v>
      </c>
      <c r="K969" s="1"/>
      <c r="L969" s="1" t="s">
        <v>337</v>
      </c>
      <c r="M969" s="1"/>
      <c r="N969" s="1"/>
      <c r="O969" s="31">
        <v>3</v>
      </c>
      <c r="P969" s="31">
        <v>1</v>
      </c>
      <c r="Q969" s="32">
        <v>2014</v>
      </c>
    </row>
    <row r="970" spans="1:17" x14ac:dyDescent="0.25">
      <c r="A970" s="1" t="s">
        <v>347</v>
      </c>
      <c r="B970" s="31">
        <v>63.6</v>
      </c>
      <c r="C970" s="1" t="s">
        <v>20</v>
      </c>
      <c r="D970" s="1">
        <v>42675</v>
      </c>
      <c r="E970" s="1">
        <v>42675</v>
      </c>
      <c r="F970" s="17">
        <v>1480000</v>
      </c>
      <c r="G970" s="17">
        <v>23270.44</v>
      </c>
      <c r="H970" s="1"/>
      <c r="I970" s="1" t="s">
        <v>21</v>
      </c>
      <c r="J970" s="1" t="s">
        <v>22</v>
      </c>
      <c r="K970" s="1"/>
      <c r="L970" s="1" t="s">
        <v>337</v>
      </c>
      <c r="M970" s="1"/>
      <c r="N970" s="1" t="s">
        <v>345</v>
      </c>
      <c r="O970" s="31">
        <v>4</v>
      </c>
      <c r="P970" s="31">
        <v>1</v>
      </c>
      <c r="Q970" s="32">
        <v>2014</v>
      </c>
    </row>
    <row r="971" spans="1:17" x14ac:dyDescent="0.25">
      <c r="A971" s="1" t="s">
        <v>347</v>
      </c>
      <c r="B971" s="31">
        <v>47.6</v>
      </c>
      <c r="C971" s="1" t="s">
        <v>20</v>
      </c>
      <c r="D971" s="1">
        <v>42736</v>
      </c>
      <c r="E971" s="1">
        <v>42767</v>
      </c>
      <c r="F971" s="17">
        <v>1110000</v>
      </c>
      <c r="G971" s="17">
        <v>23319.33</v>
      </c>
      <c r="H971" s="1"/>
      <c r="I971" s="1" t="s">
        <v>21</v>
      </c>
      <c r="J971" s="1" t="s">
        <v>22</v>
      </c>
      <c r="K971" s="1"/>
      <c r="L971" s="1" t="s">
        <v>337</v>
      </c>
      <c r="M971" s="1"/>
      <c r="N971" s="1" t="s">
        <v>345</v>
      </c>
      <c r="O971" s="31">
        <v>3</v>
      </c>
      <c r="P971" s="31">
        <v>1</v>
      </c>
      <c r="Q971" s="32">
        <v>2014</v>
      </c>
    </row>
    <row r="972" spans="1:17" x14ac:dyDescent="0.25">
      <c r="A972" s="1" t="s">
        <v>339</v>
      </c>
      <c r="B972" s="31">
        <v>45</v>
      </c>
      <c r="C972" s="1" t="s">
        <v>20</v>
      </c>
      <c r="D972" s="1">
        <v>42705</v>
      </c>
      <c r="E972" s="1">
        <v>42705</v>
      </c>
      <c r="F972" s="17">
        <v>1050000</v>
      </c>
      <c r="G972" s="17">
        <v>23333.33</v>
      </c>
      <c r="H972" s="1"/>
      <c r="I972" s="1" t="s">
        <v>21</v>
      </c>
      <c r="J972" s="1" t="s">
        <v>22</v>
      </c>
      <c r="K972" s="1"/>
      <c r="L972" s="1" t="s">
        <v>337</v>
      </c>
      <c r="M972" s="1"/>
      <c r="N972" s="1" t="s">
        <v>157</v>
      </c>
      <c r="O972" s="31">
        <v>4</v>
      </c>
      <c r="P972" s="31">
        <v>1</v>
      </c>
      <c r="Q972" s="32">
        <v>2016</v>
      </c>
    </row>
    <row r="973" spans="1:17" x14ac:dyDescent="0.25">
      <c r="A973" s="1" t="s">
        <v>342</v>
      </c>
      <c r="B973" s="31">
        <v>32.9</v>
      </c>
      <c r="C973" s="1" t="s">
        <v>20</v>
      </c>
      <c r="D973" s="1">
        <v>42705</v>
      </c>
      <c r="E973" s="1">
        <v>42705</v>
      </c>
      <c r="F973" s="17">
        <v>768000</v>
      </c>
      <c r="G973" s="17">
        <v>23343.47</v>
      </c>
      <c r="H973" s="1"/>
      <c r="I973" s="1" t="s">
        <v>21</v>
      </c>
      <c r="J973" s="1" t="s">
        <v>22</v>
      </c>
      <c r="K973" s="1"/>
      <c r="L973" s="1" t="s">
        <v>337</v>
      </c>
      <c r="M973" s="1"/>
      <c r="N973" s="1" t="s">
        <v>299</v>
      </c>
      <c r="O973" s="31">
        <v>3</v>
      </c>
      <c r="P973" s="31">
        <v>1</v>
      </c>
      <c r="Q973" s="32">
        <v>2014</v>
      </c>
    </row>
    <row r="974" spans="1:17" x14ac:dyDescent="0.25">
      <c r="A974" s="1" t="s">
        <v>338</v>
      </c>
      <c r="B974" s="31">
        <v>56.9</v>
      </c>
      <c r="C974" s="1" t="s">
        <v>20</v>
      </c>
      <c r="D974" s="1">
        <v>42705</v>
      </c>
      <c r="E974" s="1">
        <v>42705</v>
      </c>
      <c r="F974" s="17">
        <v>1332800</v>
      </c>
      <c r="G974" s="17">
        <v>23423.55</v>
      </c>
      <c r="H974" s="1"/>
      <c r="I974" s="1" t="s">
        <v>21</v>
      </c>
      <c r="J974" s="1" t="s">
        <v>22</v>
      </c>
      <c r="K974" s="1"/>
      <c r="L974" s="1" t="s">
        <v>337</v>
      </c>
      <c r="M974" s="1"/>
      <c r="N974" s="1" t="s">
        <v>354</v>
      </c>
      <c r="O974" s="31">
        <v>3</v>
      </c>
      <c r="P974" s="31">
        <v>2</v>
      </c>
      <c r="Q974" s="32">
        <v>2014</v>
      </c>
    </row>
    <row r="975" spans="1:17" x14ac:dyDescent="0.25">
      <c r="A975" s="1" t="s">
        <v>338</v>
      </c>
      <c r="B975" s="31">
        <v>56.9</v>
      </c>
      <c r="C975" s="1" t="s">
        <v>20</v>
      </c>
      <c r="D975" s="1">
        <v>42705</v>
      </c>
      <c r="E975" s="1">
        <v>42705</v>
      </c>
      <c r="F975" s="17">
        <v>1332800</v>
      </c>
      <c r="G975" s="17">
        <v>23423.55</v>
      </c>
      <c r="H975" s="1"/>
      <c r="I975" s="1" t="s">
        <v>21</v>
      </c>
      <c r="J975" s="1" t="s">
        <v>22</v>
      </c>
      <c r="K975" s="1"/>
      <c r="L975" s="1" t="s">
        <v>337</v>
      </c>
      <c r="M975" s="1"/>
      <c r="N975" s="1" t="s">
        <v>354</v>
      </c>
      <c r="O975" s="31">
        <v>3</v>
      </c>
      <c r="P975" s="31">
        <v>2</v>
      </c>
      <c r="Q975" s="32">
        <v>2014</v>
      </c>
    </row>
    <row r="976" spans="1:17" x14ac:dyDescent="0.25">
      <c r="A976" s="1" t="s">
        <v>348</v>
      </c>
      <c r="B976" s="31">
        <v>38.4</v>
      </c>
      <c r="C976" s="1" t="s">
        <v>20</v>
      </c>
      <c r="D976" s="1">
        <v>42767</v>
      </c>
      <c r="E976" s="1">
        <v>42767</v>
      </c>
      <c r="F976" s="17">
        <v>900000</v>
      </c>
      <c r="G976" s="17">
        <v>23437.5</v>
      </c>
      <c r="H976" s="1"/>
      <c r="I976" s="1" t="s">
        <v>21</v>
      </c>
      <c r="J976" s="1" t="s">
        <v>32</v>
      </c>
      <c r="K976" s="1"/>
      <c r="L976" s="1" t="s">
        <v>337</v>
      </c>
      <c r="M976" s="1"/>
      <c r="N976" s="1"/>
      <c r="O976" s="31">
        <v>2</v>
      </c>
      <c r="P976" s="31">
        <v>2</v>
      </c>
      <c r="Q976" s="32">
        <v>2011</v>
      </c>
    </row>
    <row r="977" spans="1:17" x14ac:dyDescent="0.25">
      <c r="A977" s="1" t="s">
        <v>348</v>
      </c>
      <c r="B977" s="31">
        <v>38.4</v>
      </c>
      <c r="C977" s="1" t="s">
        <v>20</v>
      </c>
      <c r="D977" s="1">
        <v>42767</v>
      </c>
      <c r="E977" s="1">
        <v>42767</v>
      </c>
      <c r="F977" s="17">
        <v>900000</v>
      </c>
      <c r="G977" s="17">
        <v>23437.5</v>
      </c>
      <c r="H977" s="1"/>
      <c r="I977" s="1" t="s">
        <v>21</v>
      </c>
      <c r="J977" s="1" t="s">
        <v>32</v>
      </c>
      <c r="K977" s="1"/>
      <c r="L977" s="1" t="s">
        <v>337</v>
      </c>
      <c r="M977" s="1"/>
      <c r="N977" s="1"/>
      <c r="O977" s="31">
        <v>2</v>
      </c>
      <c r="P977" s="31">
        <v>2</v>
      </c>
      <c r="Q977" s="32">
        <v>2011</v>
      </c>
    </row>
    <row r="978" spans="1:17" x14ac:dyDescent="0.25">
      <c r="A978" s="1" t="s">
        <v>349</v>
      </c>
      <c r="B978" s="31">
        <v>45</v>
      </c>
      <c r="C978" s="1" t="s">
        <v>20</v>
      </c>
      <c r="D978" s="1">
        <v>42795</v>
      </c>
      <c r="E978" s="1">
        <v>42795</v>
      </c>
      <c r="F978" s="17">
        <v>1070000</v>
      </c>
      <c r="G978" s="17">
        <v>23777.78</v>
      </c>
      <c r="H978" s="1"/>
      <c r="I978" s="1" t="s">
        <v>21</v>
      </c>
      <c r="J978" s="1" t="s">
        <v>22</v>
      </c>
      <c r="K978" s="1"/>
      <c r="L978" s="1" t="s">
        <v>337</v>
      </c>
      <c r="M978" s="1"/>
      <c r="N978" s="1" t="s">
        <v>128</v>
      </c>
      <c r="O978" s="31">
        <v>4</v>
      </c>
      <c r="P978" s="31">
        <v>1</v>
      </c>
      <c r="Q978" s="32">
        <v>2001</v>
      </c>
    </row>
    <row r="979" spans="1:17" x14ac:dyDescent="0.25">
      <c r="A979" s="1" t="s">
        <v>351</v>
      </c>
      <c r="B979" s="31">
        <v>51.9</v>
      </c>
      <c r="C979" s="1" t="s">
        <v>20</v>
      </c>
      <c r="D979" s="1">
        <v>42705</v>
      </c>
      <c r="E979" s="1">
        <v>42705</v>
      </c>
      <c r="F979" s="17">
        <v>1235000</v>
      </c>
      <c r="G979" s="17">
        <v>23795.759999999998</v>
      </c>
      <c r="H979" s="1"/>
      <c r="I979" s="1" t="s">
        <v>21</v>
      </c>
      <c r="J979" s="1" t="s">
        <v>22</v>
      </c>
      <c r="K979" s="1"/>
      <c r="L979" s="1" t="s">
        <v>337</v>
      </c>
      <c r="M979" s="1"/>
      <c r="N979" s="1" t="s">
        <v>353</v>
      </c>
      <c r="O979" s="31">
        <v>1</v>
      </c>
      <c r="P979" s="31">
        <v>1</v>
      </c>
      <c r="Q979" s="32">
        <v>2008</v>
      </c>
    </row>
    <row r="980" spans="1:17" x14ac:dyDescent="0.25">
      <c r="A980" s="1" t="s">
        <v>347</v>
      </c>
      <c r="B980" s="31">
        <v>58.5</v>
      </c>
      <c r="C980" s="1" t="s">
        <v>20</v>
      </c>
      <c r="D980" s="1">
        <v>42705</v>
      </c>
      <c r="E980" s="1">
        <v>42705</v>
      </c>
      <c r="F980" s="17">
        <v>1400000</v>
      </c>
      <c r="G980" s="17">
        <v>23931.62</v>
      </c>
      <c r="H980" s="1"/>
      <c r="I980" s="1" t="s">
        <v>21</v>
      </c>
      <c r="J980" s="1" t="s">
        <v>22</v>
      </c>
      <c r="K980" s="1"/>
      <c r="L980" s="1" t="s">
        <v>337</v>
      </c>
      <c r="M980" s="1"/>
      <c r="N980" s="1" t="s">
        <v>350</v>
      </c>
      <c r="O980" s="31">
        <v>2</v>
      </c>
      <c r="P980" s="31">
        <v>1</v>
      </c>
      <c r="Q980" s="32">
        <v>2003</v>
      </c>
    </row>
    <row r="981" spans="1:17" x14ac:dyDescent="0.25">
      <c r="A981" s="1" t="s">
        <v>347</v>
      </c>
      <c r="B981" s="31">
        <v>36.6</v>
      </c>
      <c r="C981" s="1" t="s">
        <v>20</v>
      </c>
      <c r="D981" s="1">
        <v>42644</v>
      </c>
      <c r="E981" s="1">
        <v>42644</v>
      </c>
      <c r="F981" s="17">
        <v>880000</v>
      </c>
      <c r="G981" s="17">
        <v>24043.72</v>
      </c>
      <c r="H981" s="1"/>
      <c r="I981" s="1" t="s">
        <v>21</v>
      </c>
      <c r="J981" s="1" t="s">
        <v>22</v>
      </c>
      <c r="K981" s="1"/>
      <c r="L981" s="1" t="s">
        <v>337</v>
      </c>
      <c r="M981" s="1"/>
      <c r="N981" s="1" t="s">
        <v>350</v>
      </c>
      <c r="O981" s="31">
        <v>5</v>
      </c>
      <c r="P981" s="31">
        <v>1</v>
      </c>
      <c r="Q981" s="32">
        <v>2000</v>
      </c>
    </row>
    <row r="982" spans="1:17" x14ac:dyDescent="0.25">
      <c r="A982" s="1" t="s">
        <v>338</v>
      </c>
      <c r="B982" s="31">
        <v>68.900000000000006</v>
      </c>
      <c r="C982" s="1" t="s">
        <v>20</v>
      </c>
      <c r="D982" s="1">
        <v>42736</v>
      </c>
      <c r="E982" s="1">
        <v>42736</v>
      </c>
      <c r="F982" s="17">
        <v>1670000</v>
      </c>
      <c r="G982" s="17">
        <v>24238.03</v>
      </c>
      <c r="H982" s="1"/>
      <c r="I982" s="1" t="s">
        <v>21</v>
      </c>
      <c r="J982" s="1" t="s">
        <v>22</v>
      </c>
      <c r="K982" s="1"/>
      <c r="L982" s="1" t="s">
        <v>337</v>
      </c>
      <c r="M982" s="1"/>
      <c r="N982" s="1" t="s">
        <v>346</v>
      </c>
      <c r="O982" s="31">
        <v>2</v>
      </c>
      <c r="P982" s="31">
        <v>1</v>
      </c>
      <c r="Q982" s="32">
        <v>2005</v>
      </c>
    </row>
    <row r="983" spans="1:17" x14ac:dyDescent="0.25">
      <c r="A983" s="1" t="s">
        <v>349</v>
      </c>
      <c r="B983" s="31">
        <v>29.6</v>
      </c>
      <c r="C983" s="1" t="s">
        <v>20</v>
      </c>
      <c r="D983" s="1">
        <v>42705</v>
      </c>
      <c r="E983" s="1">
        <v>42705</v>
      </c>
      <c r="F983" s="17">
        <v>720000</v>
      </c>
      <c r="G983" s="17">
        <v>24324.32</v>
      </c>
      <c r="H983" s="1"/>
      <c r="I983" s="1" t="s">
        <v>21</v>
      </c>
      <c r="J983" s="1" t="s">
        <v>22</v>
      </c>
      <c r="K983" s="1"/>
      <c r="L983" s="1" t="s">
        <v>337</v>
      </c>
      <c r="M983" s="1"/>
      <c r="N983" s="1" t="s">
        <v>340</v>
      </c>
      <c r="O983" s="31">
        <v>5</v>
      </c>
      <c r="P983" s="31">
        <v>2</v>
      </c>
      <c r="Q983" s="32">
        <v>2007</v>
      </c>
    </row>
    <row r="984" spans="1:17" x14ac:dyDescent="0.25">
      <c r="A984" s="1" t="s">
        <v>349</v>
      </c>
      <c r="B984" s="31">
        <v>29.6</v>
      </c>
      <c r="C984" s="1" t="s">
        <v>20</v>
      </c>
      <c r="D984" s="1">
        <v>42705</v>
      </c>
      <c r="E984" s="1">
        <v>42705</v>
      </c>
      <c r="F984" s="17">
        <v>720000</v>
      </c>
      <c r="G984" s="17">
        <v>24324.32</v>
      </c>
      <c r="H984" s="1"/>
      <c r="I984" s="1" t="s">
        <v>21</v>
      </c>
      <c r="J984" s="1" t="s">
        <v>22</v>
      </c>
      <c r="K984" s="1"/>
      <c r="L984" s="1" t="s">
        <v>337</v>
      </c>
      <c r="M984" s="1"/>
      <c r="N984" s="1" t="s">
        <v>340</v>
      </c>
      <c r="O984" s="31">
        <v>5</v>
      </c>
      <c r="P984" s="31">
        <v>2</v>
      </c>
      <c r="Q984" s="32">
        <v>2007</v>
      </c>
    </row>
    <row r="985" spans="1:17" x14ac:dyDescent="0.25">
      <c r="A985" s="1" t="s">
        <v>341</v>
      </c>
      <c r="B985" s="31">
        <v>41.1</v>
      </c>
      <c r="C985" s="1" t="s">
        <v>20</v>
      </c>
      <c r="D985" s="1">
        <v>42644</v>
      </c>
      <c r="E985" s="1">
        <v>42644</v>
      </c>
      <c r="F985" s="17">
        <v>1000000</v>
      </c>
      <c r="G985" s="17">
        <v>24330.9</v>
      </c>
      <c r="H985" s="1"/>
      <c r="I985" s="1" t="s">
        <v>21</v>
      </c>
      <c r="J985" s="1" t="s">
        <v>22</v>
      </c>
      <c r="K985" s="1"/>
      <c r="L985" s="1" t="s">
        <v>337</v>
      </c>
      <c r="M985" s="1"/>
      <c r="N985" s="1" t="s">
        <v>345</v>
      </c>
      <c r="O985" s="31">
        <v>3</v>
      </c>
      <c r="P985" s="31">
        <v>1</v>
      </c>
      <c r="Q985" s="32">
        <v>2008</v>
      </c>
    </row>
    <row r="986" spans="1:17" x14ac:dyDescent="0.25">
      <c r="A986" s="1" t="s">
        <v>355</v>
      </c>
      <c r="B986" s="31">
        <v>53.2</v>
      </c>
      <c r="C986" s="1" t="s">
        <v>20</v>
      </c>
      <c r="D986" s="1">
        <v>42736</v>
      </c>
      <c r="E986" s="1">
        <v>42736</v>
      </c>
      <c r="F986" s="17">
        <v>1300000</v>
      </c>
      <c r="G986" s="17">
        <v>24436.09</v>
      </c>
      <c r="H986" s="1"/>
      <c r="I986" s="1" t="s">
        <v>21</v>
      </c>
      <c r="J986" s="1" t="s">
        <v>22</v>
      </c>
      <c r="K986" s="1"/>
      <c r="L986" s="1" t="s">
        <v>337</v>
      </c>
      <c r="M986" s="1"/>
      <c r="N986" s="1" t="s">
        <v>350</v>
      </c>
      <c r="O986" s="31">
        <v>2</v>
      </c>
      <c r="P986" s="31">
        <v>1</v>
      </c>
      <c r="Q986" s="32">
        <v>2007</v>
      </c>
    </row>
    <row r="987" spans="1:17" x14ac:dyDescent="0.25">
      <c r="A987" s="1" t="s">
        <v>341</v>
      </c>
      <c r="B987" s="31">
        <v>32.700000000000003</v>
      </c>
      <c r="C987" s="1" t="s">
        <v>20</v>
      </c>
      <c r="D987" s="1">
        <v>42767</v>
      </c>
      <c r="E987" s="1">
        <v>42767</v>
      </c>
      <c r="F987" s="17">
        <v>800000</v>
      </c>
      <c r="G987" s="17">
        <v>24464.83</v>
      </c>
      <c r="H987" s="1"/>
      <c r="I987" s="1" t="s">
        <v>21</v>
      </c>
      <c r="J987" s="1" t="s">
        <v>22</v>
      </c>
      <c r="K987" s="1"/>
      <c r="L987" s="1" t="s">
        <v>337</v>
      </c>
      <c r="M987" s="1"/>
      <c r="N987" s="1" t="s">
        <v>183</v>
      </c>
      <c r="O987" s="31">
        <v>2</v>
      </c>
      <c r="P987" s="31">
        <v>1</v>
      </c>
      <c r="Q987" s="32">
        <v>2005</v>
      </c>
    </row>
    <row r="988" spans="1:17" x14ac:dyDescent="0.25">
      <c r="A988" s="1" t="s">
        <v>349</v>
      </c>
      <c r="B988" s="31">
        <v>47.5</v>
      </c>
      <c r="C988" s="1" t="s">
        <v>20</v>
      </c>
      <c r="D988" s="1">
        <v>42644</v>
      </c>
      <c r="E988" s="1">
        <v>42675</v>
      </c>
      <c r="F988" s="17">
        <v>1170000</v>
      </c>
      <c r="G988" s="17">
        <v>24631.58</v>
      </c>
      <c r="H988" s="1"/>
      <c r="I988" s="1" t="s">
        <v>21</v>
      </c>
      <c r="J988" s="1" t="s">
        <v>22</v>
      </c>
      <c r="K988" s="1"/>
      <c r="L988" s="1" t="s">
        <v>337</v>
      </c>
      <c r="M988" s="1"/>
      <c r="N988" s="1" t="s">
        <v>340</v>
      </c>
      <c r="O988" s="31">
        <v>1</v>
      </c>
      <c r="P988" s="31">
        <v>1</v>
      </c>
      <c r="Q988" s="32">
        <v>2007</v>
      </c>
    </row>
    <row r="989" spans="1:17" x14ac:dyDescent="0.25">
      <c r="A989" s="1" t="s">
        <v>338</v>
      </c>
      <c r="B989" s="31">
        <v>47.1</v>
      </c>
      <c r="C989" s="1" t="s">
        <v>20</v>
      </c>
      <c r="D989" s="1">
        <v>42736</v>
      </c>
      <c r="E989" s="1">
        <v>42736</v>
      </c>
      <c r="F989" s="17">
        <v>1168800</v>
      </c>
      <c r="G989" s="17">
        <v>24815.29</v>
      </c>
      <c r="H989" s="1"/>
      <c r="I989" s="1" t="s">
        <v>21</v>
      </c>
      <c r="J989" s="1" t="s">
        <v>22</v>
      </c>
      <c r="K989" s="1"/>
      <c r="L989" s="1" t="s">
        <v>337</v>
      </c>
      <c r="M989" s="1"/>
      <c r="N989" s="1" t="s">
        <v>352</v>
      </c>
      <c r="O989" s="31">
        <v>1</v>
      </c>
      <c r="P989" s="31">
        <v>1</v>
      </c>
      <c r="Q989" s="32">
        <v>2012</v>
      </c>
    </row>
    <row r="990" spans="1:17" x14ac:dyDescent="0.25">
      <c r="A990" s="1" t="s">
        <v>341</v>
      </c>
      <c r="B990" s="31">
        <v>43.3</v>
      </c>
      <c r="C990" s="1" t="s">
        <v>20</v>
      </c>
      <c r="D990" s="1">
        <v>42644</v>
      </c>
      <c r="E990" s="1">
        <v>42644</v>
      </c>
      <c r="F990" s="17">
        <v>1080000</v>
      </c>
      <c r="G990" s="17">
        <v>24942.26</v>
      </c>
      <c r="H990" s="1"/>
      <c r="I990" s="1" t="s">
        <v>21</v>
      </c>
      <c r="J990" s="1" t="s">
        <v>22</v>
      </c>
      <c r="K990" s="1"/>
      <c r="L990" s="1" t="s">
        <v>337</v>
      </c>
      <c r="M990" s="1"/>
      <c r="N990" s="1" t="s">
        <v>344</v>
      </c>
      <c r="O990" s="31">
        <v>4</v>
      </c>
      <c r="P990" s="31">
        <v>1</v>
      </c>
      <c r="Q990" s="32">
        <v>2006</v>
      </c>
    </row>
    <row r="991" spans="1:17" x14ac:dyDescent="0.25">
      <c r="A991" s="1" t="s">
        <v>341</v>
      </c>
      <c r="B991" s="31">
        <v>43.5</v>
      </c>
      <c r="C991" s="1" t="s">
        <v>20</v>
      </c>
      <c r="D991" s="1">
        <v>42644</v>
      </c>
      <c r="E991" s="1">
        <v>42644</v>
      </c>
      <c r="F991" s="17">
        <v>1090000</v>
      </c>
      <c r="G991" s="17">
        <v>25057.47</v>
      </c>
      <c r="H991" s="1"/>
      <c r="I991" s="1" t="s">
        <v>21</v>
      </c>
      <c r="J991" s="1" t="s">
        <v>22</v>
      </c>
      <c r="K991" s="1"/>
      <c r="L991" s="1" t="s">
        <v>337</v>
      </c>
      <c r="M991" s="1"/>
      <c r="N991" s="1" t="s">
        <v>51</v>
      </c>
      <c r="O991" s="31">
        <v>3</v>
      </c>
      <c r="P991" s="31">
        <v>1</v>
      </c>
      <c r="Q991" s="32">
        <v>2012</v>
      </c>
    </row>
    <row r="992" spans="1:17" x14ac:dyDescent="0.25">
      <c r="A992" s="1" t="s">
        <v>338</v>
      </c>
      <c r="B992" s="31">
        <v>31.3</v>
      </c>
      <c r="C992" s="1" t="s">
        <v>20</v>
      </c>
      <c r="D992" s="1">
        <v>42736</v>
      </c>
      <c r="E992" s="1">
        <v>42736</v>
      </c>
      <c r="F992" s="17">
        <v>787000</v>
      </c>
      <c r="G992" s="17">
        <v>25143.77</v>
      </c>
      <c r="H992" s="1"/>
      <c r="I992" s="1" t="s">
        <v>21</v>
      </c>
      <c r="J992" s="1" t="s">
        <v>22</v>
      </c>
      <c r="K992" s="1"/>
      <c r="L992" s="1" t="s">
        <v>337</v>
      </c>
      <c r="M992" s="1"/>
      <c r="N992" s="1" t="s">
        <v>346</v>
      </c>
      <c r="O992" s="31">
        <v>2</v>
      </c>
      <c r="P992" s="31">
        <v>1</v>
      </c>
      <c r="Q992" s="32">
        <v>2016</v>
      </c>
    </row>
    <row r="993" spans="1:17" x14ac:dyDescent="0.25">
      <c r="A993" s="1" t="s">
        <v>342</v>
      </c>
      <c r="B993" s="31">
        <v>55.6</v>
      </c>
      <c r="C993" s="1" t="s">
        <v>20</v>
      </c>
      <c r="D993" s="1">
        <v>42795</v>
      </c>
      <c r="E993" s="1">
        <v>42795</v>
      </c>
      <c r="F993" s="17">
        <v>1400000</v>
      </c>
      <c r="G993" s="17">
        <v>25179.86</v>
      </c>
      <c r="H993" s="1"/>
      <c r="I993" s="1" t="s">
        <v>21</v>
      </c>
      <c r="J993" s="1" t="s">
        <v>32</v>
      </c>
      <c r="K993" s="1"/>
      <c r="L993" s="1" t="s">
        <v>337</v>
      </c>
      <c r="M993" s="1"/>
      <c r="N993" s="1" t="s">
        <v>345</v>
      </c>
      <c r="O993" s="31">
        <v>2</v>
      </c>
      <c r="P993" s="31">
        <v>1</v>
      </c>
      <c r="Q993" s="32">
        <v>2005</v>
      </c>
    </row>
    <row r="994" spans="1:17" x14ac:dyDescent="0.25">
      <c r="A994" s="1" t="s">
        <v>342</v>
      </c>
      <c r="B994" s="31">
        <v>62.7</v>
      </c>
      <c r="C994" s="1" t="s">
        <v>20</v>
      </c>
      <c r="D994" s="1">
        <v>42614</v>
      </c>
      <c r="E994" s="1">
        <v>42644</v>
      </c>
      <c r="F994" s="17">
        <v>1600000</v>
      </c>
      <c r="G994" s="17">
        <v>25518.34</v>
      </c>
      <c r="H994" s="1"/>
      <c r="I994" s="1" t="s">
        <v>21</v>
      </c>
      <c r="J994" s="1" t="s">
        <v>22</v>
      </c>
      <c r="K994" s="1"/>
      <c r="L994" s="1" t="s">
        <v>337</v>
      </c>
      <c r="M994" s="1"/>
      <c r="N994" s="1" t="s">
        <v>343</v>
      </c>
      <c r="O994" s="31">
        <v>3</v>
      </c>
      <c r="P994" s="31">
        <v>1</v>
      </c>
      <c r="Q994" s="32">
        <v>2010</v>
      </c>
    </row>
    <row r="995" spans="1:17" x14ac:dyDescent="0.25">
      <c r="A995" s="1" t="s">
        <v>347</v>
      </c>
      <c r="B995" s="31">
        <v>17.7</v>
      </c>
      <c r="C995" s="1" t="s">
        <v>20</v>
      </c>
      <c r="D995" s="1">
        <v>42795</v>
      </c>
      <c r="E995" s="1">
        <v>42795</v>
      </c>
      <c r="F995" s="17">
        <v>453100</v>
      </c>
      <c r="G995" s="17">
        <v>25598.87</v>
      </c>
      <c r="H995" s="1"/>
      <c r="I995" s="1" t="s">
        <v>21</v>
      </c>
      <c r="J995" s="1" t="s">
        <v>22</v>
      </c>
      <c r="K995" s="1"/>
      <c r="L995" s="1" t="s">
        <v>337</v>
      </c>
      <c r="M995" s="1"/>
      <c r="N995" s="1" t="s">
        <v>345</v>
      </c>
      <c r="O995" s="31">
        <v>1</v>
      </c>
      <c r="P995" s="31">
        <v>1</v>
      </c>
      <c r="Q995" s="32">
        <v>2010</v>
      </c>
    </row>
    <row r="996" spans="1:17" x14ac:dyDescent="0.25">
      <c r="A996" s="1" t="s">
        <v>341</v>
      </c>
      <c r="B996" s="31">
        <v>32.799999999999997</v>
      </c>
      <c r="C996" s="1" t="s">
        <v>20</v>
      </c>
      <c r="D996" s="1">
        <v>42675</v>
      </c>
      <c r="E996" s="1">
        <v>42675</v>
      </c>
      <c r="F996" s="17">
        <v>840000</v>
      </c>
      <c r="G996" s="17">
        <v>25609.759999999998</v>
      </c>
      <c r="H996" s="1"/>
      <c r="I996" s="1" t="s">
        <v>21</v>
      </c>
      <c r="J996" s="1" t="s">
        <v>22</v>
      </c>
      <c r="K996" s="1"/>
      <c r="L996" s="1" t="s">
        <v>337</v>
      </c>
      <c r="M996" s="1"/>
      <c r="N996" s="1" t="s">
        <v>183</v>
      </c>
      <c r="O996" s="31">
        <v>3</v>
      </c>
      <c r="P996" s="31">
        <v>1</v>
      </c>
      <c r="Q996" s="32">
        <v>2004</v>
      </c>
    </row>
    <row r="997" spans="1:17" x14ac:dyDescent="0.25">
      <c r="A997" s="1" t="s">
        <v>338</v>
      </c>
      <c r="B997" s="31">
        <v>47.1</v>
      </c>
      <c r="C997" s="1" t="s">
        <v>20</v>
      </c>
      <c r="D997" s="1">
        <v>42675</v>
      </c>
      <c r="E997" s="1">
        <v>42705</v>
      </c>
      <c r="F997" s="17">
        <v>1210240</v>
      </c>
      <c r="G997" s="17">
        <v>25695.119999999999</v>
      </c>
      <c r="H997" s="1"/>
      <c r="I997" s="1" t="s">
        <v>21</v>
      </c>
      <c r="J997" s="1" t="s">
        <v>22</v>
      </c>
      <c r="K997" s="1"/>
      <c r="L997" s="1" t="s">
        <v>337</v>
      </c>
      <c r="M997" s="1"/>
      <c r="N997" s="1" t="s">
        <v>346</v>
      </c>
      <c r="O997" s="31">
        <v>7</v>
      </c>
      <c r="P997" s="31">
        <v>1</v>
      </c>
      <c r="Q997" s="32">
        <v>2016</v>
      </c>
    </row>
    <row r="998" spans="1:17" x14ac:dyDescent="0.25">
      <c r="A998" s="1" t="s">
        <v>339</v>
      </c>
      <c r="B998" s="31">
        <v>63.4</v>
      </c>
      <c r="C998" s="1" t="s">
        <v>20</v>
      </c>
      <c r="D998" s="1">
        <v>42736</v>
      </c>
      <c r="E998" s="1">
        <v>42736</v>
      </c>
      <c r="F998" s="17">
        <v>1640000</v>
      </c>
      <c r="G998" s="17">
        <v>25867.51</v>
      </c>
      <c r="H998" s="1"/>
      <c r="I998" s="1" t="s">
        <v>21</v>
      </c>
      <c r="J998" s="1" t="s">
        <v>22</v>
      </c>
      <c r="K998" s="1"/>
      <c r="L998" s="1" t="s">
        <v>337</v>
      </c>
      <c r="M998" s="1"/>
      <c r="N998" s="1" t="s">
        <v>340</v>
      </c>
      <c r="O998" s="31">
        <v>2</v>
      </c>
      <c r="P998" s="31">
        <v>1</v>
      </c>
      <c r="Q998" s="32">
        <v>2016</v>
      </c>
    </row>
    <row r="999" spans="1:17" x14ac:dyDescent="0.25">
      <c r="A999" s="1" t="s">
        <v>349</v>
      </c>
      <c r="B999" s="31">
        <v>30.9</v>
      </c>
      <c r="C999" s="1" t="s">
        <v>20</v>
      </c>
      <c r="D999" s="1">
        <v>42795</v>
      </c>
      <c r="E999" s="1">
        <v>42795</v>
      </c>
      <c r="F999" s="17">
        <v>800000</v>
      </c>
      <c r="G999" s="17">
        <v>25889.97</v>
      </c>
      <c r="H999" s="1"/>
      <c r="I999" s="1" t="s">
        <v>21</v>
      </c>
      <c r="J999" s="1" t="s">
        <v>32</v>
      </c>
      <c r="K999" s="1"/>
      <c r="L999" s="1" t="s">
        <v>337</v>
      </c>
      <c r="M999" s="1"/>
      <c r="N999" s="1" t="s">
        <v>128</v>
      </c>
      <c r="O999" s="31">
        <v>4</v>
      </c>
      <c r="P999" s="31">
        <v>1</v>
      </c>
      <c r="Q999" s="32">
        <v>2002</v>
      </c>
    </row>
    <row r="1000" spans="1:17" x14ac:dyDescent="0.25">
      <c r="A1000" s="1" t="s">
        <v>338</v>
      </c>
      <c r="B1000" s="31">
        <v>31.4</v>
      </c>
      <c r="C1000" s="1" t="s">
        <v>20</v>
      </c>
      <c r="D1000" s="1">
        <v>42705</v>
      </c>
      <c r="E1000" s="1">
        <v>42705</v>
      </c>
      <c r="F1000" s="17">
        <v>818400</v>
      </c>
      <c r="G1000" s="17">
        <v>26063.69</v>
      </c>
      <c r="H1000" s="1"/>
      <c r="I1000" s="1" t="s">
        <v>21</v>
      </c>
      <c r="J1000" s="1" t="s">
        <v>22</v>
      </c>
      <c r="K1000" s="1"/>
      <c r="L1000" s="1" t="s">
        <v>337</v>
      </c>
      <c r="M1000" s="1"/>
      <c r="N1000" s="1" t="s">
        <v>346</v>
      </c>
      <c r="O1000" s="31">
        <v>3</v>
      </c>
      <c r="P1000" s="31">
        <v>1</v>
      </c>
      <c r="Q1000" s="32">
        <v>2016</v>
      </c>
    </row>
    <row r="1001" spans="1:17" x14ac:dyDescent="0.25">
      <c r="A1001" s="1" t="s">
        <v>351</v>
      </c>
      <c r="B1001" s="31">
        <v>77.3</v>
      </c>
      <c r="C1001" s="1" t="s">
        <v>20</v>
      </c>
      <c r="D1001" s="1">
        <v>42644</v>
      </c>
      <c r="E1001" s="1">
        <v>42675</v>
      </c>
      <c r="F1001" s="17">
        <v>2027063</v>
      </c>
      <c r="G1001" s="17">
        <v>26223.32</v>
      </c>
      <c r="H1001" s="1"/>
      <c r="I1001" s="1" t="s">
        <v>21</v>
      </c>
      <c r="J1001" s="1" t="s">
        <v>22</v>
      </c>
      <c r="K1001" s="1"/>
      <c r="L1001" s="1" t="s">
        <v>337</v>
      </c>
      <c r="M1001" s="1"/>
      <c r="N1001" s="1" t="s">
        <v>345</v>
      </c>
      <c r="O1001" s="31">
        <v>3</v>
      </c>
      <c r="P1001" s="31">
        <v>1</v>
      </c>
      <c r="Q1001" s="32">
        <v>2002</v>
      </c>
    </row>
    <row r="1002" spans="1:17" x14ac:dyDescent="0.25">
      <c r="A1002" s="1" t="s">
        <v>347</v>
      </c>
      <c r="B1002" s="31">
        <v>33</v>
      </c>
      <c r="C1002" s="1" t="s">
        <v>20</v>
      </c>
      <c r="D1002" s="1">
        <v>42705</v>
      </c>
      <c r="E1002" s="1">
        <v>42705</v>
      </c>
      <c r="F1002" s="17">
        <v>870400</v>
      </c>
      <c r="G1002" s="17">
        <v>26375.759999999998</v>
      </c>
      <c r="H1002" s="1"/>
      <c r="I1002" s="1" t="s">
        <v>21</v>
      </c>
      <c r="J1002" s="1" t="s">
        <v>22</v>
      </c>
      <c r="K1002" s="1"/>
      <c r="L1002" s="1" t="s">
        <v>337</v>
      </c>
      <c r="M1002" s="1"/>
      <c r="N1002" s="1" t="s">
        <v>343</v>
      </c>
      <c r="O1002" s="31">
        <v>2</v>
      </c>
      <c r="P1002" s="31">
        <v>1</v>
      </c>
      <c r="Q1002" s="32">
        <v>2000</v>
      </c>
    </row>
    <row r="1003" spans="1:17" x14ac:dyDescent="0.25">
      <c r="A1003" s="1" t="s">
        <v>342</v>
      </c>
      <c r="B1003" s="31">
        <v>50.9</v>
      </c>
      <c r="C1003" s="1" t="s">
        <v>20</v>
      </c>
      <c r="D1003" s="1">
        <v>42767</v>
      </c>
      <c r="E1003" s="1">
        <v>42767</v>
      </c>
      <c r="F1003" s="17">
        <v>1350000</v>
      </c>
      <c r="G1003" s="17">
        <v>26522.59</v>
      </c>
      <c r="H1003" s="1"/>
      <c r="I1003" s="1" t="s">
        <v>21</v>
      </c>
      <c r="J1003" s="1" t="s">
        <v>22</v>
      </c>
      <c r="K1003" s="1"/>
      <c r="L1003" s="1" t="s">
        <v>337</v>
      </c>
      <c r="M1003" s="1"/>
      <c r="N1003" s="1"/>
      <c r="O1003" s="31">
        <v>2</v>
      </c>
      <c r="P1003" s="31">
        <v>2</v>
      </c>
      <c r="Q1003" s="32">
        <v>2013</v>
      </c>
    </row>
    <row r="1004" spans="1:17" x14ac:dyDescent="0.25">
      <c r="A1004" s="1" t="s">
        <v>342</v>
      </c>
      <c r="B1004" s="31">
        <v>50.9</v>
      </c>
      <c r="C1004" s="1" t="s">
        <v>20</v>
      </c>
      <c r="D1004" s="1">
        <v>42767</v>
      </c>
      <c r="E1004" s="1">
        <v>42767</v>
      </c>
      <c r="F1004" s="17">
        <v>1350000</v>
      </c>
      <c r="G1004" s="17">
        <v>26522.59</v>
      </c>
      <c r="H1004" s="1"/>
      <c r="I1004" s="1" t="s">
        <v>21</v>
      </c>
      <c r="J1004" s="1" t="s">
        <v>22</v>
      </c>
      <c r="K1004" s="1"/>
      <c r="L1004" s="1" t="s">
        <v>337</v>
      </c>
      <c r="M1004" s="1"/>
      <c r="N1004" s="1"/>
      <c r="O1004" s="31">
        <v>2</v>
      </c>
      <c r="P1004" s="31">
        <v>2</v>
      </c>
      <c r="Q1004" s="32">
        <v>2013</v>
      </c>
    </row>
    <row r="1005" spans="1:17" x14ac:dyDescent="0.25">
      <c r="A1005" s="1" t="s">
        <v>339</v>
      </c>
      <c r="B1005" s="31">
        <v>30.7</v>
      </c>
      <c r="C1005" s="1" t="s">
        <v>20</v>
      </c>
      <c r="D1005" s="1">
        <v>42767</v>
      </c>
      <c r="E1005" s="1">
        <v>42795</v>
      </c>
      <c r="F1005" s="17">
        <v>816300</v>
      </c>
      <c r="G1005" s="17">
        <v>26589.58</v>
      </c>
      <c r="H1005" s="1"/>
      <c r="I1005" s="1" t="s">
        <v>21</v>
      </c>
      <c r="J1005" s="1" t="s">
        <v>32</v>
      </c>
      <c r="K1005" s="1"/>
      <c r="L1005" s="1" t="s">
        <v>337</v>
      </c>
      <c r="M1005" s="1"/>
      <c r="N1005" s="1" t="s">
        <v>157</v>
      </c>
      <c r="O1005" s="31">
        <v>4</v>
      </c>
      <c r="P1005" s="31">
        <v>2</v>
      </c>
      <c r="Q1005" s="32">
        <v>2004</v>
      </c>
    </row>
    <row r="1006" spans="1:17" x14ac:dyDescent="0.25">
      <c r="A1006" s="1" t="s">
        <v>339</v>
      </c>
      <c r="B1006" s="31">
        <v>30.7</v>
      </c>
      <c r="C1006" s="1" t="s">
        <v>20</v>
      </c>
      <c r="D1006" s="1">
        <v>42767</v>
      </c>
      <c r="E1006" s="1">
        <v>42795</v>
      </c>
      <c r="F1006" s="17">
        <v>816300</v>
      </c>
      <c r="G1006" s="17">
        <v>26589.58</v>
      </c>
      <c r="H1006" s="1"/>
      <c r="I1006" s="1" t="s">
        <v>21</v>
      </c>
      <c r="J1006" s="1" t="s">
        <v>32</v>
      </c>
      <c r="K1006" s="1"/>
      <c r="L1006" s="1" t="s">
        <v>337</v>
      </c>
      <c r="M1006" s="1"/>
      <c r="N1006" s="1" t="s">
        <v>157</v>
      </c>
      <c r="O1006" s="31">
        <v>4</v>
      </c>
      <c r="P1006" s="31">
        <v>2</v>
      </c>
      <c r="Q1006" s="32">
        <v>2004</v>
      </c>
    </row>
    <row r="1007" spans="1:17" x14ac:dyDescent="0.25">
      <c r="A1007" s="1" t="s">
        <v>348</v>
      </c>
      <c r="B1007" s="31">
        <v>40.4</v>
      </c>
      <c r="C1007" s="1" t="s">
        <v>20</v>
      </c>
      <c r="D1007" s="1">
        <v>42644</v>
      </c>
      <c r="E1007" s="1">
        <v>42644</v>
      </c>
      <c r="F1007" s="17">
        <v>1080000</v>
      </c>
      <c r="G1007" s="17">
        <v>26732.67</v>
      </c>
      <c r="H1007" s="1"/>
      <c r="I1007" s="1" t="s">
        <v>21</v>
      </c>
      <c r="J1007" s="1" t="s">
        <v>22</v>
      </c>
      <c r="K1007" s="1"/>
      <c r="L1007" s="1" t="s">
        <v>337</v>
      </c>
      <c r="M1007" s="1"/>
      <c r="N1007" s="1" t="s">
        <v>345</v>
      </c>
      <c r="O1007" s="31">
        <v>4</v>
      </c>
      <c r="P1007" s="31">
        <v>1</v>
      </c>
      <c r="Q1007" s="32">
        <v>2002</v>
      </c>
    </row>
    <row r="1008" spans="1:17" x14ac:dyDescent="0.25">
      <c r="A1008" s="1" t="s">
        <v>341</v>
      </c>
      <c r="B1008" s="31">
        <v>42.9</v>
      </c>
      <c r="C1008" s="1" t="s">
        <v>20</v>
      </c>
      <c r="D1008" s="1">
        <v>42614</v>
      </c>
      <c r="E1008" s="1">
        <v>42644</v>
      </c>
      <c r="F1008" s="17">
        <v>1150000</v>
      </c>
      <c r="G1008" s="17">
        <v>26806.53</v>
      </c>
      <c r="H1008" s="1"/>
      <c r="I1008" s="1" t="s">
        <v>21</v>
      </c>
      <c r="J1008" s="1" t="s">
        <v>22</v>
      </c>
      <c r="K1008" s="1"/>
      <c r="L1008" s="1" t="s">
        <v>337</v>
      </c>
      <c r="M1008" s="1"/>
      <c r="N1008" s="1" t="s">
        <v>183</v>
      </c>
      <c r="O1008" s="31">
        <v>3</v>
      </c>
      <c r="P1008" s="31">
        <v>2</v>
      </c>
      <c r="Q1008" s="32">
        <v>2011</v>
      </c>
    </row>
    <row r="1009" spans="1:17" x14ac:dyDescent="0.25">
      <c r="A1009" s="1" t="s">
        <v>341</v>
      </c>
      <c r="B1009" s="31">
        <v>42.9</v>
      </c>
      <c r="C1009" s="1" t="s">
        <v>20</v>
      </c>
      <c r="D1009" s="1">
        <v>42614</v>
      </c>
      <c r="E1009" s="1">
        <v>42644</v>
      </c>
      <c r="F1009" s="17">
        <v>1150000</v>
      </c>
      <c r="G1009" s="17">
        <v>26806.53</v>
      </c>
      <c r="H1009" s="1"/>
      <c r="I1009" s="1" t="s">
        <v>21</v>
      </c>
      <c r="J1009" s="1" t="s">
        <v>22</v>
      </c>
      <c r="K1009" s="1"/>
      <c r="L1009" s="1" t="s">
        <v>337</v>
      </c>
      <c r="M1009" s="1"/>
      <c r="N1009" s="1" t="s">
        <v>183</v>
      </c>
      <c r="O1009" s="31">
        <v>3</v>
      </c>
      <c r="P1009" s="31">
        <v>2</v>
      </c>
      <c r="Q1009" s="32">
        <v>2011</v>
      </c>
    </row>
    <row r="1010" spans="1:17" x14ac:dyDescent="0.25">
      <c r="A1010" s="1" t="s">
        <v>349</v>
      </c>
      <c r="B1010" s="31">
        <v>30.2</v>
      </c>
      <c r="C1010" s="1" t="s">
        <v>20</v>
      </c>
      <c r="D1010" s="1">
        <v>42675</v>
      </c>
      <c r="E1010" s="1">
        <v>42705</v>
      </c>
      <c r="F1010" s="17">
        <v>816000</v>
      </c>
      <c r="G1010" s="17">
        <v>27019.87</v>
      </c>
      <c r="H1010" s="1"/>
      <c r="I1010" s="1" t="s">
        <v>21</v>
      </c>
      <c r="J1010" s="1" t="s">
        <v>22</v>
      </c>
      <c r="K1010" s="1"/>
      <c r="L1010" s="1" t="s">
        <v>337</v>
      </c>
      <c r="M1010" s="1"/>
      <c r="N1010" s="1" t="s">
        <v>128</v>
      </c>
      <c r="O1010" s="31">
        <v>5</v>
      </c>
      <c r="P1010" s="31">
        <v>1</v>
      </c>
      <c r="Q1010" s="32">
        <v>2008</v>
      </c>
    </row>
    <row r="1011" spans="1:17" x14ac:dyDescent="0.25">
      <c r="A1011" s="1" t="s">
        <v>349</v>
      </c>
      <c r="B1011" s="31">
        <v>45.9</v>
      </c>
      <c r="C1011" s="1" t="s">
        <v>20</v>
      </c>
      <c r="D1011" s="1">
        <v>42736</v>
      </c>
      <c r="E1011" s="1">
        <v>42736</v>
      </c>
      <c r="F1011" s="17">
        <v>1250000</v>
      </c>
      <c r="G1011" s="17">
        <v>27233.119999999999</v>
      </c>
      <c r="H1011" s="1"/>
      <c r="I1011" s="1" t="s">
        <v>21</v>
      </c>
      <c r="J1011" s="1" t="s">
        <v>22</v>
      </c>
      <c r="K1011" s="1"/>
      <c r="L1011" s="1" t="s">
        <v>337</v>
      </c>
      <c r="M1011" s="1"/>
      <c r="N1011" s="1" t="s">
        <v>128</v>
      </c>
      <c r="O1011" s="31">
        <v>5</v>
      </c>
      <c r="P1011" s="31">
        <v>1</v>
      </c>
      <c r="Q1011" s="32">
        <v>2001</v>
      </c>
    </row>
    <row r="1012" spans="1:17" x14ac:dyDescent="0.25">
      <c r="A1012" s="1" t="s">
        <v>341</v>
      </c>
      <c r="B1012" s="31">
        <v>49.4</v>
      </c>
      <c r="C1012" s="1" t="s">
        <v>20</v>
      </c>
      <c r="D1012" s="1">
        <v>42644</v>
      </c>
      <c r="E1012" s="1">
        <v>42644</v>
      </c>
      <c r="F1012" s="17">
        <v>1360000</v>
      </c>
      <c r="G1012" s="17">
        <v>27530.36</v>
      </c>
      <c r="H1012" s="1"/>
      <c r="I1012" s="1" t="s">
        <v>21</v>
      </c>
      <c r="J1012" s="1" t="s">
        <v>22</v>
      </c>
      <c r="K1012" s="1"/>
      <c r="L1012" s="1" t="s">
        <v>337</v>
      </c>
      <c r="M1012" s="1"/>
      <c r="N1012" s="1" t="s">
        <v>49</v>
      </c>
      <c r="O1012" s="31">
        <v>2</v>
      </c>
      <c r="P1012" s="31">
        <v>1</v>
      </c>
      <c r="Q1012" s="32">
        <v>2012</v>
      </c>
    </row>
    <row r="1013" spans="1:17" x14ac:dyDescent="0.25">
      <c r="A1013" s="1" t="s">
        <v>348</v>
      </c>
      <c r="B1013" s="31">
        <v>44.8</v>
      </c>
      <c r="C1013" s="1" t="s">
        <v>20</v>
      </c>
      <c r="D1013" s="1">
        <v>42736</v>
      </c>
      <c r="E1013" s="1">
        <v>42736</v>
      </c>
      <c r="F1013" s="17">
        <v>1242400</v>
      </c>
      <c r="G1013" s="17">
        <v>27732.14</v>
      </c>
      <c r="H1013" s="1"/>
      <c r="I1013" s="1" t="s">
        <v>21</v>
      </c>
      <c r="J1013" s="1" t="s">
        <v>32</v>
      </c>
      <c r="K1013" s="1"/>
      <c r="L1013" s="1" t="s">
        <v>337</v>
      </c>
      <c r="M1013" s="1"/>
      <c r="N1013" s="1" t="s">
        <v>345</v>
      </c>
      <c r="O1013" s="31">
        <v>2</v>
      </c>
      <c r="P1013" s="31">
        <v>1</v>
      </c>
      <c r="Q1013" s="32">
        <v>2002</v>
      </c>
    </row>
    <row r="1014" spans="1:17" x14ac:dyDescent="0.25">
      <c r="A1014" s="1" t="s">
        <v>348</v>
      </c>
      <c r="B1014" s="31">
        <v>32.200000000000003</v>
      </c>
      <c r="C1014" s="1" t="s">
        <v>20</v>
      </c>
      <c r="D1014" s="1">
        <v>42705</v>
      </c>
      <c r="E1014" s="1">
        <v>42705</v>
      </c>
      <c r="F1014" s="17">
        <v>900000</v>
      </c>
      <c r="G1014" s="17">
        <v>27950.31</v>
      </c>
      <c r="H1014" s="1"/>
      <c r="I1014" s="1" t="s">
        <v>21</v>
      </c>
      <c r="J1014" s="1" t="s">
        <v>22</v>
      </c>
      <c r="K1014" s="1"/>
      <c r="L1014" s="1" t="s">
        <v>337</v>
      </c>
      <c r="M1014" s="1"/>
      <c r="N1014" s="1" t="s">
        <v>128</v>
      </c>
      <c r="O1014" s="31">
        <v>4</v>
      </c>
      <c r="P1014" s="31">
        <v>2</v>
      </c>
      <c r="Q1014" s="32">
        <v>2002</v>
      </c>
    </row>
    <row r="1015" spans="1:17" x14ac:dyDescent="0.25">
      <c r="A1015" s="1" t="s">
        <v>348</v>
      </c>
      <c r="B1015" s="31">
        <v>32.200000000000003</v>
      </c>
      <c r="C1015" s="1" t="s">
        <v>20</v>
      </c>
      <c r="D1015" s="1">
        <v>42705</v>
      </c>
      <c r="E1015" s="1">
        <v>42705</v>
      </c>
      <c r="F1015" s="17">
        <v>900000</v>
      </c>
      <c r="G1015" s="17">
        <v>27950.31</v>
      </c>
      <c r="H1015" s="1"/>
      <c r="I1015" s="1" t="s">
        <v>21</v>
      </c>
      <c r="J1015" s="1" t="s">
        <v>22</v>
      </c>
      <c r="K1015" s="1"/>
      <c r="L1015" s="1" t="s">
        <v>337</v>
      </c>
      <c r="M1015" s="1"/>
      <c r="N1015" s="1" t="s">
        <v>128</v>
      </c>
      <c r="O1015" s="31">
        <v>4</v>
      </c>
      <c r="P1015" s="31">
        <v>2</v>
      </c>
      <c r="Q1015" s="32">
        <v>2002</v>
      </c>
    </row>
    <row r="1016" spans="1:17" x14ac:dyDescent="0.25">
      <c r="A1016" s="1" t="s">
        <v>342</v>
      </c>
      <c r="B1016" s="31">
        <v>30.4</v>
      </c>
      <c r="C1016" s="1" t="s">
        <v>20</v>
      </c>
      <c r="D1016" s="1">
        <v>42705</v>
      </c>
      <c r="E1016" s="1">
        <v>42736</v>
      </c>
      <c r="F1016" s="17">
        <v>850000</v>
      </c>
      <c r="G1016" s="17">
        <v>27960.53</v>
      </c>
      <c r="H1016" s="1"/>
      <c r="I1016" s="1" t="s">
        <v>21</v>
      </c>
      <c r="J1016" s="1" t="s">
        <v>32</v>
      </c>
      <c r="K1016" s="1"/>
      <c r="L1016" s="1" t="s">
        <v>337</v>
      </c>
      <c r="M1016" s="1"/>
      <c r="N1016" s="1" t="s">
        <v>345</v>
      </c>
      <c r="O1016" s="31">
        <v>4</v>
      </c>
      <c r="P1016" s="31">
        <v>1</v>
      </c>
      <c r="Q1016" s="32">
        <v>2008</v>
      </c>
    </row>
    <row r="1017" spans="1:17" x14ac:dyDescent="0.25">
      <c r="A1017" s="1" t="s">
        <v>342</v>
      </c>
      <c r="B1017" s="31">
        <v>48.1</v>
      </c>
      <c r="C1017" s="1" t="s">
        <v>20</v>
      </c>
      <c r="D1017" s="1">
        <v>42675</v>
      </c>
      <c r="E1017" s="1">
        <v>42675</v>
      </c>
      <c r="F1017" s="17">
        <v>1350000</v>
      </c>
      <c r="G1017" s="17">
        <v>28066.53</v>
      </c>
      <c r="H1017" s="1"/>
      <c r="I1017" s="1" t="s">
        <v>21</v>
      </c>
      <c r="J1017" s="1" t="s">
        <v>22</v>
      </c>
      <c r="K1017" s="1"/>
      <c r="L1017" s="1" t="s">
        <v>337</v>
      </c>
      <c r="M1017" s="1"/>
      <c r="N1017" s="1" t="s">
        <v>299</v>
      </c>
      <c r="O1017" s="31">
        <v>3</v>
      </c>
      <c r="P1017" s="31">
        <v>1</v>
      </c>
      <c r="Q1017" s="32">
        <v>2014</v>
      </c>
    </row>
    <row r="1018" spans="1:17" x14ac:dyDescent="0.25">
      <c r="A1018" s="1" t="s">
        <v>349</v>
      </c>
      <c r="B1018" s="31">
        <v>30.1</v>
      </c>
      <c r="C1018" s="1" t="s">
        <v>20</v>
      </c>
      <c r="D1018" s="1">
        <v>42767</v>
      </c>
      <c r="E1018" s="1">
        <v>42767</v>
      </c>
      <c r="F1018" s="17">
        <v>850000</v>
      </c>
      <c r="G1018" s="17">
        <v>28239.200000000001</v>
      </c>
      <c r="H1018" s="1"/>
      <c r="I1018" s="1" t="s">
        <v>21</v>
      </c>
      <c r="J1018" s="1" t="s">
        <v>32</v>
      </c>
      <c r="K1018" s="1"/>
      <c r="L1018" s="1" t="s">
        <v>337</v>
      </c>
      <c r="M1018" s="1"/>
      <c r="N1018" s="1" t="s">
        <v>128</v>
      </c>
      <c r="O1018" s="31">
        <v>2</v>
      </c>
      <c r="P1018" s="31">
        <v>1</v>
      </c>
      <c r="Q1018" s="32">
        <v>2002</v>
      </c>
    </row>
    <row r="1019" spans="1:17" x14ac:dyDescent="0.25">
      <c r="A1019" s="1" t="s">
        <v>356</v>
      </c>
      <c r="B1019" s="31">
        <v>40.9</v>
      </c>
      <c r="C1019" s="1" t="s">
        <v>20</v>
      </c>
      <c r="D1019" s="1">
        <v>42705</v>
      </c>
      <c r="E1019" s="1">
        <v>42705</v>
      </c>
      <c r="F1019" s="17">
        <v>1160000</v>
      </c>
      <c r="G1019" s="17">
        <v>28361.86</v>
      </c>
      <c r="H1019" s="1"/>
      <c r="I1019" s="1" t="s">
        <v>21</v>
      </c>
      <c r="J1019" s="1" t="s">
        <v>32</v>
      </c>
      <c r="K1019" s="1"/>
      <c r="L1019" s="1" t="s">
        <v>337</v>
      </c>
      <c r="M1019" s="1"/>
      <c r="N1019" s="1" t="s">
        <v>357</v>
      </c>
      <c r="O1019" s="31">
        <v>1</v>
      </c>
      <c r="P1019" s="31">
        <v>1</v>
      </c>
      <c r="Q1019" s="32">
        <v>2011</v>
      </c>
    </row>
    <row r="1020" spans="1:17" x14ac:dyDescent="0.25">
      <c r="A1020" s="1" t="s">
        <v>347</v>
      </c>
      <c r="B1020" s="31">
        <v>59.4</v>
      </c>
      <c r="C1020" s="1" t="s">
        <v>20</v>
      </c>
      <c r="D1020" s="1">
        <v>42795</v>
      </c>
      <c r="E1020" s="1">
        <v>42795</v>
      </c>
      <c r="F1020" s="17">
        <v>1700000</v>
      </c>
      <c r="G1020" s="17">
        <v>28619.53</v>
      </c>
      <c r="H1020" s="1"/>
      <c r="I1020" s="1" t="s">
        <v>21</v>
      </c>
      <c r="J1020" s="1" t="s">
        <v>32</v>
      </c>
      <c r="K1020" s="1"/>
      <c r="L1020" s="1" t="s">
        <v>337</v>
      </c>
      <c r="M1020" s="1"/>
      <c r="N1020" s="1" t="s">
        <v>343</v>
      </c>
      <c r="O1020" s="31">
        <v>2</v>
      </c>
      <c r="P1020" s="31">
        <v>1</v>
      </c>
      <c r="Q1020" s="32">
        <v>2012</v>
      </c>
    </row>
    <row r="1021" spans="1:17" x14ac:dyDescent="0.25">
      <c r="A1021" s="1" t="s">
        <v>349</v>
      </c>
      <c r="B1021" s="31">
        <v>62.6</v>
      </c>
      <c r="C1021" s="1" t="s">
        <v>20</v>
      </c>
      <c r="D1021" s="1">
        <v>42767</v>
      </c>
      <c r="E1021" s="1">
        <v>42767</v>
      </c>
      <c r="F1021" s="17">
        <v>1800000</v>
      </c>
      <c r="G1021" s="17">
        <v>28753.99</v>
      </c>
      <c r="H1021" s="1"/>
      <c r="I1021" s="1" t="s">
        <v>21</v>
      </c>
      <c r="J1021" s="1" t="s">
        <v>32</v>
      </c>
      <c r="K1021" s="1"/>
      <c r="L1021" s="1" t="s">
        <v>337</v>
      </c>
      <c r="M1021" s="1"/>
      <c r="N1021" s="1" t="s">
        <v>340</v>
      </c>
      <c r="O1021" s="31">
        <v>2</v>
      </c>
      <c r="P1021" s="31">
        <v>2</v>
      </c>
      <c r="Q1021" s="32">
        <v>2007</v>
      </c>
    </row>
    <row r="1022" spans="1:17" x14ac:dyDescent="0.25">
      <c r="A1022" s="1" t="s">
        <v>349</v>
      </c>
      <c r="B1022" s="31">
        <v>62.6</v>
      </c>
      <c r="C1022" s="1" t="s">
        <v>20</v>
      </c>
      <c r="D1022" s="1">
        <v>42767</v>
      </c>
      <c r="E1022" s="1">
        <v>42767</v>
      </c>
      <c r="F1022" s="17">
        <v>1800000</v>
      </c>
      <c r="G1022" s="17">
        <v>28753.99</v>
      </c>
      <c r="H1022" s="1"/>
      <c r="I1022" s="1" t="s">
        <v>21</v>
      </c>
      <c r="J1022" s="1" t="s">
        <v>32</v>
      </c>
      <c r="K1022" s="1"/>
      <c r="L1022" s="1" t="s">
        <v>337</v>
      </c>
      <c r="M1022" s="1"/>
      <c r="N1022" s="1" t="s">
        <v>340</v>
      </c>
      <c r="O1022" s="31">
        <v>2</v>
      </c>
      <c r="P1022" s="31">
        <v>2</v>
      </c>
      <c r="Q1022" s="32">
        <v>2007</v>
      </c>
    </row>
    <row r="1023" spans="1:17" x14ac:dyDescent="0.25">
      <c r="A1023" s="1" t="s">
        <v>349</v>
      </c>
      <c r="B1023" s="31">
        <v>34.700000000000003</v>
      </c>
      <c r="C1023" s="1" t="s">
        <v>20</v>
      </c>
      <c r="D1023" s="1">
        <v>42736</v>
      </c>
      <c r="E1023" s="1">
        <v>42736</v>
      </c>
      <c r="F1023" s="17">
        <v>1040000</v>
      </c>
      <c r="G1023" s="17">
        <v>29971.18</v>
      </c>
      <c r="H1023" s="1"/>
      <c r="I1023" s="1" t="s">
        <v>21</v>
      </c>
      <c r="J1023" s="1" t="s">
        <v>32</v>
      </c>
      <c r="K1023" s="1"/>
      <c r="L1023" s="1" t="s">
        <v>337</v>
      </c>
      <c r="M1023" s="1"/>
      <c r="N1023" s="1" t="s">
        <v>128</v>
      </c>
      <c r="O1023" s="31">
        <v>2</v>
      </c>
      <c r="P1023" s="31">
        <v>1</v>
      </c>
      <c r="Q1023" s="32">
        <v>2003</v>
      </c>
    </row>
    <row r="1024" spans="1:17" x14ac:dyDescent="0.25">
      <c r="A1024" s="1" t="s">
        <v>338</v>
      </c>
      <c r="B1024" s="31">
        <v>34.5</v>
      </c>
      <c r="C1024" s="1" t="s">
        <v>20</v>
      </c>
      <c r="D1024" s="1">
        <v>42767</v>
      </c>
      <c r="E1024" s="1">
        <v>42767</v>
      </c>
      <c r="F1024" s="17">
        <v>1040000</v>
      </c>
      <c r="G1024" s="17">
        <v>30144.93</v>
      </c>
      <c r="H1024" s="1"/>
      <c r="I1024" s="1" t="s">
        <v>21</v>
      </c>
      <c r="J1024" s="1" t="s">
        <v>22</v>
      </c>
      <c r="K1024" s="1"/>
      <c r="L1024" s="1" t="s">
        <v>337</v>
      </c>
      <c r="M1024" s="1"/>
      <c r="N1024" s="1" t="s">
        <v>358</v>
      </c>
      <c r="O1024" s="31">
        <v>5</v>
      </c>
      <c r="P1024" s="31">
        <v>1</v>
      </c>
      <c r="Q1024" s="32">
        <v>1999</v>
      </c>
    </row>
    <row r="1025" spans="1:17" x14ac:dyDescent="0.25">
      <c r="A1025" s="1" t="s">
        <v>339</v>
      </c>
      <c r="B1025" s="31">
        <v>32.6</v>
      </c>
      <c r="C1025" s="1" t="s">
        <v>20</v>
      </c>
      <c r="D1025" s="1">
        <v>42705</v>
      </c>
      <c r="E1025" s="1">
        <v>42705</v>
      </c>
      <c r="F1025" s="17">
        <v>1000000</v>
      </c>
      <c r="G1025" s="17">
        <v>30674.85</v>
      </c>
      <c r="H1025" s="1"/>
      <c r="I1025" s="1" t="s">
        <v>21</v>
      </c>
      <c r="J1025" s="1" t="s">
        <v>32</v>
      </c>
      <c r="K1025" s="1"/>
      <c r="L1025" s="1" t="s">
        <v>337</v>
      </c>
      <c r="M1025" s="1"/>
      <c r="N1025" s="1" t="s">
        <v>128</v>
      </c>
      <c r="O1025" s="31">
        <v>2</v>
      </c>
      <c r="P1025" s="31">
        <v>1</v>
      </c>
      <c r="Q1025" s="32">
        <v>2001</v>
      </c>
    </row>
    <row r="1026" spans="1:17" x14ac:dyDescent="0.25">
      <c r="A1026" s="1" t="s">
        <v>339</v>
      </c>
      <c r="B1026" s="31">
        <v>264.10000000000002</v>
      </c>
      <c r="C1026" s="1" t="s">
        <v>20</v>
      </c>
      <c r="D1026" s="1">
        <v>42795</v>
      </c>
      <c r="E1026" s="1">
        <v>42795</v>
      </c>
      <c r="F1026" s="17">
        <v>8164000</v>
      </c>
      <c r="G1026" s="17">
        <v>30912.53</v>
      </c>
      <c r="H1026" s="1"/>
      <c r="I1026" s="1" t="s">
        <v>21</v>
      </c>
      <c r="J1026" s="1" t="s">
        <v>64</v>
      </c>
      <c r="K1026" s="1"/>
      <c r="L1026" s="1" t="s">
        <v>337</v>
      </c>
      <c r="M1026" s="1"/>
      <c r="N1026" s="1" t="s">
        <v>128</v>
      </c>
      <c r="O1026" s="31">
        <v>1</v>
      </c>
      <c r="P1026" s="31">
        <v>1</v>
      </c>
      <c r="Q1026" s="32">
        <v>2008</v>
      </c>
    </row>
    <row r="1027" spans="1:17" x14ac:dyDescent="0.25">
      <c r="A1027" s="1" t="s">
        <v>349</v>
      </c>
      <c r="B1027" s="31">
        <v>29.3</v>
      </c>
      <c r="C1027" s="1" t="s">
        <v>20</v>
      </c>
      <c r="D1027" s="1">
        <v>42795</v>
      </c>
      <c r="E1027" s="1">
        <v>42795</v>
      </c>
      <c r="F1027" s="17">
        <v>920000</v>
      </c>
      <c r="G1027" s="17">
        <v>31399.32</v>
      </c>
      <c r="H1027" s="1"/>
      <c r="I1027" s="1" t="s">
        <v>21</v>
      </c>
      <c r="J1027" s="1" t="s">
        <v>32</v>
      </c>
      <c r="K1027" s="1"/>
      <c r="L1027" s="1" t="s">
        <v>337</v>
      </c>
      <c r="M1027" s="1"/>
      <c r="N1027" s="1" t="s">
        <v>128</v>
      </c>
      <c r="O1027" s="31">
        <v>2</v>
      </c>
      <c r="P1027" s="31">
        <v>1</v>
      </c>
      <c r="Q1027" s="32">
        <v>2000</v>
      </c>
    </row>
    <row r="1028" spans="1:17" x14ac:dyDescent="0.25">
      <c r="A1028" s="1" t="s">
        <v>348</v>
      </c>
      <c r="B1028" s="31">
        <v>28.8</v>
      </c>
      <c r="C1028" s="1" t="s">
        <v>20</v>
      </c>
      <c r="D1028" s="1">
        <v>42795</v>
      </c>
      <c r="E1028" s="1">
        <v>42795</v>
      </c>
      <c r="F1028" s="17">
        <v>1040000</v>
      </c>
      <c r="G1028" s="17">
        <v>36111.11</v>
      </c>
      <c r="H1028" s="1"/>
      <c r="I1028" s="1" t="s">
        <v>21</v>
      </c>
      <c r="J1028" s="1" t="s">
        <v>22</v>
      </c>
      <c r="K1028" s="1"/>
      <c r="L1028" s="1" t="s">
        <v>337</v>
      </c>
      <c r="M1028" s="1"/>
      <c r="N1028" s="1" t="s">
        <v>345</v>
      </c>
      <c r="O1028" s="31">
        <v>5</v>
      </c>
      <c r="P1028" s="31">
        <v>1</v>
      </c>
      <c r="Q1028" s="32">
        <v>2004</v>
      </c>
    </row>
    <row r="1029" spans="1:17" s="9" customFormat="1" ht="15.75" thickBot="1" x14ac:dyDescent="0.3">
      <c r="A1029" s="25"/>
      <c r="B1029" s="33"/>
      <c r="C1029" s="25"/>
      <c r="D1029" s="25"/>
      <c r="E1029" s="25"/>
      <c r="F1029" s="26"/>
      <c r="G1029" s="26">
        <f>SUM(G955:G1028)/74</f>
        <v>25521.341621621636</v>
      </c>
      <c r="H1029" s="25"/>
      <c r="I1029" s="25"/>
      <c r="J1029" s="25"/>
      <c r="K1029" s="25"/>
      <c r="L1029" s="25"/>
      <c r="M1029" s="25"/>
      <c r="N1029" s="25"/>
      <c r="O1029" s="33"/>
      <c r="P1029" s="33"/>
      <c r="Q1029" s="34"/>
    </row>
    <row r="1030" spans="1:17" s="6" customFormat="1" x14ac:dyDescent="0.25">
      <c r="A1030" s="4" t="s">
        <v>359</v>
      </c>
      <c r="B1030" s="35"/>
      <c r="C1030" s="5"/>
      <c r="D1030" s="5"/>
      <c r="E1030" s="5"/>
      <c r="F1030" s="19"/>
      <c r="G1030" s="19"/>
      <c r="H1030" s="5"/>
      <c r="I1030" s="5"/>
      <c r="J1030" s="5"/>
      <c r="K1030" s="5"/>
      <c r="L1030" s="5"/>
      <c r="M1030" s="5"/>
      <c r="N1030" s="5"/>
      <c r="O1030" s="35"/>
      <c r="P1030" s="35"/>
      <c r="Q1030" s="36"/>
    </row>
    <row r="1031" spans="1:17" x14ac:dyDescent="0.25">
      <c r="A1031" s="1" t="s">
        <v>376</v>
      </c>
      <c r="B1031" s="31">
        <v>44.5</v>
      </c>
      <c r="C1031" s="1" t="s">
        <v>20</v>
      </c>
      <c r="D1031" s="2">
        <v>42705</v>
      </c>
      <c r="E1031" s="2">
        <v>42705</v>
      </c>
      <c r="F1031" s="17">
        <v>450000</v>
      </c>
      <c r="G1031" s="17">
        <v>10112.36</v>
      </c>
      <c r="H1031" s="1"/>
      <c r="I1031" s="1" t="s">
        <v>21</v>
      </c>
      <c r="J1031" s="1" t="s">
        <v>22</v>
      </c>
      <c r="K1031" s="1" t="s">
        <v>360</v>
      </c>
      <c r="L1031" s="1" t="s">
        <v>359</v>
      </c>
      <c r="M1031" s="1"/>
      <c r="N1031" s="1"/>
      <c r="O1031" s="31">
        <v>3</v>
      </c>
      <c r="P1031" s="31">
        <v>1</v>
      </c>
      <c r="Q1031" s="32">
        <v>2010</v>
      </c>
    </row>
    <row r="1032" spans="1:17" x14ac:dyDescent="0.25">
      <c r="A1032" s="1" t="s">
        <v>408</v>
      </c>
      <c r="B1032" s="31">
        <v>39.700000000000003</v>
      </c>
      <c r="C1032" s="1" t="s">
        <v>20</v>
      </c>
      <c r="D1032" s="2">
        <v>42705</v>
      </c>
      <c r="E1032" s="2">
        <v>42705</v>
      </c>
      <c r="F1032" s="17">
        <v>408026</v>
      </c>
      <c r="G1032" s="17">
        <v>10277.73</v>
      </c>
      <c r="H1032" s="1"/>
      <c r="I1032" s="1" t="s">
        <v>21</v>
      </c>
      <c r="J1032" s="1" t="s">
        <v>22</v>
      </c>
      <c r="K1032" s="1" t="s">
        <v>360</v>
      </c>
      <c r="L1032" s="1" t="s">
        <v>359</v>
      </c>
      <c r="M1032" s="1"/>
      <c r="N1032" s="1" t="s">
        <v>368</v>
      </c>
      <c r="O1032" s="31">
        <v>2</v>
      </c>
      <c r="P1032" s="31">
        <v>1</v>
      </c>
      <c r="Q1032" s="32">
        <v>2008</v>
      </c>
    </row>
    <row r="1033" spans="1:17" x14ac:dyDescent="0.25">
      <c r="A1033" s="1" t="s">
        <v>376</v>
      </c>
      <c r="B1033" s="31">
        <v>43.5</v>
      </c>
      <c r="C1033" s="1" t="s">
        <v>20</v>
      </c>
      <c r="D1033" s="2">
        <v>42736</v>
      </c>
      <c r="E1033" s="2">
        <v>42736</v>
      </c>
      <c r="F1033" s="17">
        <v>453500</v>
      </c>
      <c r="G1033" s="17">
        <v>10425.290000000001</v>
      </c>
      <c r="H1033" s="1"/>
      <c r="I1033" s="1" t="s">
        <v>21</v>
      </c>
      <c r="J1033" s="1" t="s">
        <v>22</v>
      </c>
      <c r="K1033" s="1" t="s">
        <v>360</v>
      </c>
      <c r="L1033" s="1" t="s">
        <v>359</v>
      </c>
      <c r="M1033" s="1"/>
      <c r="N1033" s="1" t="s">
        <v>336</v>
      </c>
      <c r="O1033" s="31">
        <v>2</v>
      </c>
      <c r="P1033" s="31">
        <v>1</v>
      </c>
      <c r="Q1033" s="32">
        <v>2001</v>
      </c>
    </row>
    <row r="1034" spans="1:17" x14ac:dyDescent="0.25">
      <c r="A1034" s="1" t="s">
        <v>362</v>
      </c>
      <c r="B1034" s="31">
        <v>47.8</v>
      </c>
      <c r="C1034" s="1" t="s">
        <v>20</v>
      </c>
      <c r="D1034" s="2">
        <v>42675</v>
      </c>
      <c r="E1034" s="2">
        <v>42675</v>
      </c>
      <c r="F1034" s="17">
        <v>500000</v>
      </c>
      <c r="G1034" s="17">
        <v>10460.25</v>
      </c>
      <c r="H1034" s="1"/>
      <c r="I1034" s="1" t="s">
        <v>21</v>
      </c>
      <c r="J1034" s="1" t="s">
        <v>22</v>
      </c>
      <c r="K1034" s="1" t="s">
        <v>360</v>
      </c>
      <c r="L1034" s="1" t="s">
        <v>359</v>
      </c>
      <c r="M1034" s="1"/>
      <c r="N1034" s="1" t="s">
        <v>363</v>
      </c>
      <c r="O1034" s="31">
        <v>5</v>
      </c>
      <c r="P1034" s="31">
        <v>1</v>
      </c>
      <c r="Q1034" s="32">
        <v>2006</v>
      </c>
    </row>
    <row r="1035" spans="1:17" x14ac:dyDescent="0.25">
      <c r="A1035" s="1" t="s">
        <v>365</v>
      </c>
      <c r="B1035" s="31">
        <v>42.2</v>
      </c>
      <c r="C1035" s="1" t="s">
        <v>20</v>
      </c>
      <c r="D1035" s="2">
        <v>42614</v>
      </c>
      <c r="E1035" s="2">
        <v>42644</v>
      </c>
      <c r="F1035" s="17">
        <v>454000</v>
      </c>
      <c r="G1035" s="17">
        <v>10758.29</v>
      </c>
      <c r="H1035" s="1"/>
      <c r="I1035" s="1" t="s">
        <v>21</v>
      </c>
      <c r="J1035" s="1" t="s">
        <v>22</v>
      </c>
      <c r="K1035" s="1" t="s">
        <v>360</v>
      </c>
      <c r="L1035" s="1" t="s">
        <v>359</v>
      </c>
      <c r="M1035" s="1"/>
      <c r="N1035" s="1"/>
      <c r="O1035" s="31">
        <v>2</v>
      </c>
      <c r="P1035" s="31">
        <v>1</v>
      </c>
      <c r="Q1035" s="32">
        <v>2011</v>
      </c>
    </row>
    <row r="1036" spans="1:17" x14ac:dyDescent="0.25">
      <c r="A1036" s="1" t="s">
        <v>378</v>
      </c>
      <c r="B1036" s="31">
        <v>36.200000000000003</v>
      </c>
      <c r="C1036" s="1" t="s">
        <v>20</v>
      </c>
      <c r="D1036" s="2">
        <v>42705</v>
      </c>
      <c r="E1036" s="2">
        <v>42705</v>
      </c>
      <c r="F1036" s="17">
        <v>393000</v>
      </c>
      <c r="G1036" s="17">
        <v>10856.35</v>
      </c>
      <c r="H1036" s="1"/>
      <c r="I1036" s="1" t="s">
        <v>21</v>
      </c>
      <c r="J1036" s="1" t="s">
        <v>22</v>
      </c>
      <c r="K1036" s="1" t="s">
        <v>360</v>
      </c>
      <c r="L1036" s="1" t="s">
        <v>359</v>
      </c>
      <c r="M1036" s="1"/>
      <c r="N1036" s="1"/>
      <c r="O1036" s="31">
        <v>7</v>
      </c>
      <c r="P1036" s="31">
        <v>1</v>
      </c>
      <c r="Q1036" s="32">
        <v>2002</v>
      </c>
    </row>
    <row r="1037" spans="1:17" x14ac:dyDescent="0.25">
      <c r="A1037" s="1" t="s">
        <v>378</v>
      </c>
      <c r="B1037" s="31">
        <v>37.200000000000003</v>
      </c>
      <c r="C1037" s="1" t="s">
        <v>20</v>
      </c>
      <c r="D1037" s="2">
        <v>42736</v>
      </c>
      <c r="E1037" s="2">
        <v>42767</v>
      </c>
      <c r="F1037" s="17">
        <v>408026</v>
      </c>
      <c r="G1037" s="17">
        <v>10968.44</v>
      </c>
      <c r="H1037" s="1"/>
      <c r="I1037" s="1" t="s">
        <v>21</v>
      </c>
      <c r="J1037" s="1" t="s">
        <v>22</v>
      </c>
      <c r="K1037" s="1" t="s">
        <v>360</v>
      </c>
      <c r="L1037" s="1" t="s">
        <v>359</v>
      </c>
      <c r="M1037" s="1"/>
      <c r="N1037" s="1" t="s">
        <v>379</v>
      </c>
      <c r="O1037" s="31">
        <v>4</v>
      </c>
      <c r="P1037" s="31">
        <v>1</v>
      </c>
      <c r="Q1037" s="32">
        <v>2009</v>
      </c>
    </row>
    <row r="1038" spans="1:17" x14ac:dyDescent="0.25">
      <c r="A1038" s="1" t="s">
        <v>395</v>
      </c>
      <c r="B1038" s="31">
        <v>40.700000000000003</v>
      </c>
      <c r="C1038" s="1" t="s">
        <v>20</v>
      </c>
      <c r="D1038" s="2">
        <v>42795</v>
      </c>
      <c r="E1038" s="2">
        <v>42795</v>
      </c>
      <c r="F1038" s="17">
        <v>450000</v>
      </c>
      <c r="G1038" s="17">
        <v>11056.51</v>
      </c>
      <c r="H1038" s="1"/>
      <c r="I1038" s="1" t="s">
        <v>21</v>
      </c>
      <c r="J1038" s="1" t="s">
        <v>22</v>
      </c>
      <c r="K1038" s="1" t="s">
        <v>360</v>
      </c>
      <c r="L1038" s="1" t="s">
        <v>359</v>
      </c>
      <c r="M1038" s="1"/>
      <c r="N1038" s="1" t="s">
        <v>234</v>
      </c>
      <c r="O1038" s="31">
        <v>2</v>
      </c>
      <c r="P1038" s="31">
        <v>1</v>
      </c>
      <c r="Q1038" s="32">
        <v>2014</v>
      </c>
    </row>
    <row r="1039" spans="1:17" x14ac:dyDescent="0.25">
      <c r="A1039" s="1" t="s">
        <v>394</v>
      </c>
      <c r="B1039" s="31">
        <v>44.9</v>
      </c>
      <c r="C1039" s="1" t="s">
        <v>20</v>
      </c>
      <c r="D1039" s="2">
        <v>42705</v>
      </c>
      <c r="E1039" s="2">
        <v>42705</v>
      </c>
      <c r="F1039" s="17">
        <v>500000</v>
      </c>
      <c r="G1039" s="17">
        <v>11135.86</v>
      </c>
      <c r="H1039" s="1"/>
      <c r="I1039" s="1" t="s">
        <v>21</v>
      </c>
      <c r="J1039" s="1" t="s">
        <v>22</v>
      </c>
      <c r="K1039" s="1" t="s">
        <v>360</v>
      </c>
      <c r="L1039" s="1" t="s">
        <v>359</v>
      </c>
      <c r="M1039" s="1"/>
      <c r="N1039" s="1" t="s">
        <v>393</v>
      </c>
      <c r="O1039" s="31">
        <v>2</v>
      </c>
      <c r="P1039" s="31">
        <v>1</v>
      </c>
      <c r="Q1039" s="32">
        <v>2006</v>
      </c>
    </row>
    <row r="1040" spans="1:17" x14ac:dyDescent="0.25">
      <c r="A1040" s="1" t="s">
        <v>369</v>
      </c>
      <c r="B1040" s="31">
        <v>58.3</v>
      </c>
      <c r="C1040" s="1" t="s">
        <v>20</v>
      </c>
      <c r="D1040" s="2">
        <v>42644</v>
      </c>
      <c r="E1040" s="2">
        <v>42644</v>
      </c>
      <c r="F1040" s="17">
        <v>650000</v>
      </c>
      <c r="G1040" s="17">
        <v>11149.23</v>
      </c>
      <c r="H1040" s="1"/>
      <c r="I1040" s="1" t="s">
        <v>21</v>
      </c>
      <c r="J1040" s="1" t="s">
        <v>22</v>
      </c>
      <c r="K1040" s="1" t="s">
        <v>360</v>
      </c>
      <c r="L1040" s="1" t="s">
        <v>359</v>
      </c>
      <c r="M1040" s="1"/>
      <c r="N1040" s="1" t="s">
        <v>370</v>
      </c>
      <c r="O1040" s="31">
        <v>4</v>
      </c>
      <c r="P1040" s="31">
        <v>1</v>
      </c>
      <c r="Q1040" s="32">
        <v>2014</v>
      </c>
    </row>
    <row r="1041" spans="1:17" x14ac:dyDescent="0.25">
      <c r="A1041" s="1" t="s">
        <v>391</v>
      </c>
      <c r="B1041" s="31">
        <v>46.2</v>
      </c>
      <c r="C1041" s="1" t="s">
        <v>20</v>
      </c>
      <c r="D1041" s="2">
        <v>42767</v>
      </c>
      <c r="E1041" s="2">
        <v>42767</v>
      </c>
      <c r="F1041" s="17">
        <v>520000</v>
      </c>
      <c r="G1041" s="17">
        <v>11255.41</v>
      </c>
      <c r="H1041" s="1"/>
      <c r="I1041" s="1" t="s">
        <v>21</v>
      </c>
      <c r="J1041" s="1" t="s">
        <v>22</v>
      </c>
      <c r="K1041" s="1" t="s">
        <v>360</v>
      </c>
      <c r="L1041" s="1" t="s">
        <v>359</v>
      </c>
      <c r="M1041" s="1"/>
      <c r="N1041" s="1" t="s">
        <v>234</v>
      </c>
      <c r="O1041" s="31">
        <v>2</v>
      </c>
      <c r="P1041" s="31">
        <v>1</v>
      </c>
      <c r="Q1041" s="32">
        <v>2002</v>
      </c>
    </row>
    <row r="1042" spans="1:17" x14ac:dyDescent="0.25">
      <c r="A1042" s="1" t="s">
        <v>392</v>
      </c>
      <c r="B1042" s="31">
        <v>40.200000000000003</v>
      </c>
      <c r="C1042" s="1" t="s">
        <v>20</v>
      </c>
      <c r="D1042" s="2">
        <v>42644</v>
      </c>
      <c r="E1042" s="2">
        <v>42644</v>
      </c>
      <c r="F1042" s="17">
        <v>453026</v>
      </c>
      <c r="G1042" s="17">
        <v>11269.3</v>
      </c>
      <c r="H1042" s="1"/>
      <c r="I1042" s="1" t="s">
        <v>21</v>
      </c>
      <c r="J1042" s="1" t="s">
        <v>22</v>
      </c>
      <c r="K1042" s="1" t="s">
        <v>360</v>
      </c>
      <c r="L1042" s="1" t="s">
        <v>359</v>
      </c>
      <c r="M1042" s="1"/>
      <c r="N1042" s="1" t="s">
        <v>393</v>
      </c>
      <c r="O1042" s="31">
        <v>1</v>
      </c>
      <c r="P1042" s="31">
        <v>1</v>
      </c>
      <c r="Q1042" s="32">
        <v>2001</v>
      </c>
    </row>
    <row r="1043" spans="1:17" x14ac:dyDescent="0.25">
      <c r="A1043" s="1" t="s">
        <v>394</v>
      </c>
      <c r="B1043" s="31">
        <v>32.4</v>
      </c>
      <c r="C1043" s="1" t="s">
        <v>20</v>
      </c>
      <c r="D1043" s="2">
        <v>42644</v>
      </c>
      <c r="E1043" s="2">
        <v>42644</v>
      </c>
      <c r="F1043" s="17">
        <v>369000</v>
      </c>
      <c r="G1043" s="17">
        <v>11388.89</v>
      </c>
      <c r="H1043" s="1"/>
      <c r="I1043" s="1" t="s">
        <v>21</v>
      </c>
      <c r="J1043" s="1" t="s">
        <v>22</v>
      </c>
      <c r="K1043" s="1" t="s">
        <v>360</v>
      </c>
      <c r="L1043" s="1" t="s">
        <v>359</v>
      </c>
      <c r="M1043" s="1"/>
      <c r="N1043" s="1" t="s">
        <v>393</v>
      </c>
      <c r="O1043" s="31">
        <v>3</v>
      </c>
      <c r="P1043" s="31">
        <v>1</v>
      </c>
      <c r="Q1043" s="32">
        <v>2016</v>
      </c>
    </row>
    <row r="1044" spans="1:17" x14ac:dyDescent="0.25">
      <c r="A1044" s="1" t="s">
        <v>362</v>
      </c>
      <c r="B1044" s="31">
        <v>61</v>
      </c>
      <c r="C1044" s="1" t="s">
        <v>20</v>
      </c>
      <c r="D1044" s="2">
        <v>42736</v>
      </c>
      <c r="E1044" s="2">
        <v>42736</v>
      </c>
      <c r="F1044" s="17">
        <v>700000</v>
      </c>
      <c r="G1044" s="17">
        <v>11475.41</v>
      </c>
      <c r="H1044" s="1"/>
      <c r="I1044" s="1" t="s">
        <v>21</v>
      </c>
      <c r="J1044" s="1" t="s">
        <v>22</v>
      </c>
      <c r="K1044" s="1" t="s">
        <v>360</v>
      </c>
      <c r="L1044" s="1" t="s">
        <v>359</v>
      </c>
      <c r="M1044" s="1"/>
      <c r="N1044" s="1" t="s">
        <v>363</v>
      </c>
      <c r="O1044" s="31">
        <v>4</v>
      </c>
      <c r="P1044" s="31">
        <v>1</v>
      </c>
      <c r="Q1044" s="32">
        <v>2004</v>
      </c>
    </row>
    <row r="1045" spans="1:17" x14ac:dyDescent="0.25">
      <c r="A1045" s="1" t="s">
        <v>367</v>
      </c>
      <c r="B1045" s="31">
        <v>86</v>
      </c>
      <c r="C1045" s="1" t="s">
        <v>20</v>
      </c>
      <c r="D1045" s="2">
        <v>42736</v>
      </c>
      <c r="E1045" s="2">
        <v>42736</v>
      </c>
      <c r="F1045" s="17">
        <v>1000000</v>
      </c>
      <c r="G1045" s="17">
        <v>11627.91</v>
      </c>
      <c r="H1045" s="1"/>
      <c r="I1045" s="1" t="s">
        <v>21</v>
      </c>
      <c r="J1045" s="1" t="s">
        <v>22</v>
      </c>
      <c r="K1045" s="1" t="s">
        <v>360</v>
      </c>
      <c r="L1045" s="1" t="s">
        <v>359</v>
      </c>
      <c r="M1045" s="1"/>
      <c r="N1045" s="1" t="s">
        <v>336</v>
      </c>
      <c r="O1045" s="31">
        <v>1</v>
      </c>
      <c r="P1045" s="31">
        <v>2</v>
      </c>
      <c r="Q1045" s="32">
        <v>2003</v>
      </c>
    </row>
    <row r="1046" spans="1:17" x14ac:dyDescent="0.25">
      <c r="A1046" s="1" t="s">
        <v>367</v>
      </c>
      <c r="B1046" s="31">
        <v>86</v>
      </c>
      <c r="C1046" s="1" t="s">
        <v>20</v>
      </c>
      <c r="D1046" s="2">
        <v>42736</v>
      </c>
      <c r="E1046" s="2">
        <v>42736</v>
      </c>
      <c r="F1046" s="17">
        <v>1000000</v>
      </c>
      <c r="G1046" s="17">
        <v>11627.91</v>
      </c>
      <c r="H1046" s="1"/>
      <c r="I1046" s="1" t="s">
        <v>21</v>
      </c>
      <c r="J1046" s="1" t="s">
        <v>22</v>
      </c>
      <c r="K1046" s="1" t="s">
        <v>360</v>
      </c>
      <c r="L1046" s="1" t="s">
        <v>359</v>
      </c>
      <c r="M1046" s="1"/>
      <c r="N1046" s="1" t="s">
        <v>336</v>
      </c>
      <c r="O1046" s="31">
        <v>1</v>
      </c>
      <c r="P1046" s="31">
        <v>2</v>
      </c>
      <c r="Q1046" s="32">
        <v>2003</v>
      </c>
    </row>
    <row r="1047" spans="1:17" x14ac:dyDescent="0.25">
      <c r="A1047" s="1" t="s">
        <v>366</v>
      </c>
      <c r="B1047" s="31">
        <v>44.1</v>
      </c>
      <c r="C1047" s="1" t="s">
        <v>20</v>
      </c>
      <c r="D1047" s="2">
        <v>42705</v>
      </c>
      <c r="E1047" s="2">
        <v>42705</v>
      </c>
      <c r="F1047" s="17">
        <v>515000</v>
      </c>
      <c r="G1047" s="17">
        <v>11678</v>
      </c>
      <c r="H1047" s="1"/>
      <c r="I1047" s="1" t="s">
        <v>21</v>
      </c>
      <c r="J1047" s="1" t="s">
        <v>22</v>
      </c>
      <c r="K1047" s="1" t="s">
        <v>360</v>
      </c>
      <c r="L1047" s="1" t="s">
        <v>359</v>
      </c>
      <c r="M1047" s="1"/>
      <c r="N1047" s="1" t="s">
        <v>386</v>
      </c>
      <c r="O1047" s="31">
        <v>3</v>
      </c>
      <c r="P1047" s="31">
        <v>2</v>
      </c>
      <c r="Q1047" s="32">
        <v>2001</v>
      </c>
    </row>
    <row r="1048" spans="1:17" x14ac:dyDescent="0.25">
      <c r="A1048" s="1" t="s">
        <v>366</v>
      </c>
      <c r="B1048" s="31">
        <v>44.1</v>
      </c>
      <c r="C1048" s="1" t="s">
        <v>20</v>
      </c>
      <c r="D1048" s="2">
        <v>42705</v>
      </c>
      <c r="E1048" s="2">
        <v>42705</v>
      </c>
      <c r="F1048" s="17">
        <v>515000</v>
      </c>
      <c r="G1048" s="17">
        <v>11678</v>
      </c>
      <c r="H1048" s="1"/>
      <c r="I1048" s="1" t="s">
        <v>21</v>
      </c>
      <c r="J1048" s="1" t="s">
        <v>22</v>
      </c>
      <c r="K1048" s="1" t="s">
        <v>360</v>
      </c>
      <c r="L1048" s="1" t="s">
        <v>359</v>
      </c>
      <c r="M1048" s="1"/>
      <c r="N1048" s="1" t="s">
        <v>386</v>
      </c>
      <c r="O1048" s="31">
        <v>3</v>
      </c>
      <c r="P1048" s="31">
        <v>2</v>
      </c>
      <c r="Q1048" s="32">
        <v>2001</v>
      </c>
    </row>
    <row r="1049" spans="1:17" x14ac:dyDescent="0.25">
      <c r="A1049" s="1" t="s">
        <v>380</v>
      </c>
      <c r="B1049" s="31">
        <v>35.700000000000003</v>
      </c>
      <c r="C1049" s="1" t="s">
        <v>20</v>
      </c>
      <c r="D1049" s="2">
        <v>42644</v>
      </c>
      <c r="E1049" s="2">
        <v>42644</v>
      </c>
      <c r="F1049" s="17">
        <v>417984</v>
      </c>
      <c r="G1049" s="17">
        <v>11708.24</v>
      </c>
      <c r="H1049" s="1"/>
      <c r="I1049" s="1" t="s">
        <v>21</v>
      </c>
      <c r="J1049" s="1" t="s">
        <v>22</v>
      </c>
      <c r="K1049" s="1" t="s">
        <v>360</v>
      </c>
      <c r="L1049" s="1" t="s">
        <v>359</v>
      </c>
      <c r="M1049" s="1"/>
      <c r="N1049" s="1" t="s">
        <v>90</v>
      </c>
      <c r="O1049" s="31">
        <v>5</v>
      </c>
      <c r="P1049" s="31">
        <v>1</v>
      </c>
      <c r="Q1049" s="32">
        <v>2003</v>
      </c>
    </row>
    <row r="1050" spans="1:17" x14ac:dyDescent="0.25">
      <c r="A1050" s="1" t="s">
        <v>391</v>
      </c>
      <c r="B1050" s="31">
        <v>33.200000000000003</v>
      </c>
      <c r="C1050" s="1" t="s">
        <v>20</v>
      </c>
      <c r="D1050" s="2">
        <v>42705</v>
      </c>
      <c r="E1050" s="2">
        <v>42705</v>
      </c>
      <c r="F1050" s="17">
        <v>399779.15</v>
      </c>
      <c r="G1050" s="17">
        <v>12041.54</v>
      </c>
      <c r="H1050" s="1"/>
      <c r="I1050" s="1" t="s">
        <v>21</v>
      </c>
      <c r="J1050" s="1" t="s">
        <v>22</v>
      </c>
      <c r="K1050" s="1" t="s">
        <v>360</v>
      </c>
      <c r="L1050" s="1" t="s">
        <v>359</v>
      </c>
      <c r="M1050" s="1"/>
      <c r="N1050" s="1" t="s">
        <v>336</v>
      </c>
      <c r="O1050" s="31">
        <v>4</v>
      </c>
      <c r="P1050" s="31">
        <v>1</v>
      </c>
      <c r="Q1050" s="32">
        <v>2008</v>
      </c>
    </row>
    <row r="1051" spans="1:17" x14ac:dyDescent="0.25">
      <c r="A1051" s="1" t="s">
        <v>389</v>
      </c>
      <c r="B1051" s="31">
        <v>34.700000000000003</v>
      </c>
      <c r="C1051" s="1" t="s">
        <v>20</v>
      </c>
      <c r="D1051" s="2">
        <v>42675</v>
      </c>
      <c r="E1051" s="2">
        <v>42675</v>
      </c>
      <c r="F1051" s="17">
        <v>428026</v>
      </c>
      <c r="G1051" s="17">
        <v>12335.04</v>
      </c>
      <c r="H1051" s="1"/>
      <c r="I1051" s="1" t="s">
        <v>21</v>
      </c>
      <c r="J1051" s="1" t="s">
        <v>22</v>
      </c>
      <c r="K1051" s="1" t="s">
        <v>360</v>
      </c>
      <c r="L1051" s="1" t="s">
        <v>359</v>
      </c>
      <c r="M1051" s="1"/>
      <c r="N1051" s="1" t="s">
        <v>128</v>
      </c>
      <c r="O1051" s="31">
        <v>3</v>
      </c>
      <c r="P1051" s="31">
        <v>1</v>
      </c>
      <c r="Q1051" s="32">
        <v>2013</v>
      </c>
    </row>
    <row r="1052" spans="1:17" x14ac:dyDescent="0.25">
      <c r="A1052" s="1" t="s">
        <v>378</v>
      </c>
      <c r="B1052" s="31">
        <v>37</v>
      </c>
      <c r="C1052" s="1" t="s">
        <v>20</v>
      </c>
      <c r="D1052" s="2">
        <v>42705</v>
      </c>
      <c r="E1052" s="2">
        <v>42705</v>
      </c>
      <c r="F1052" s="17">
        <v>465000</v>
      </c>
      <c r="G1052" s="17">
        <v>12567.57</v>
      </c>
      <c r="H1052" s="1"/>
      <c r="I1052" s="1" t="s">
        <v>21</v>
      </c>
      <c r="J1052" s="1" t="s">
        <v>22</v>
      </c>
      <c r="K1052" s="1" t="s">
        <v>360</v>
      </c>
      <c r="L1052" s="1" t="s">
        <v>359</v>
      </c>
      <c r="M1052" s="1"/>
      <c r="N1052" s="1" t="s">
        <v>379</v>
      </c>
      <c r="O1052" s="31">
        <v>1</v>
      </c>
      <c r="P1052" s="31">
        <v>1</v>
      </c>
      <c r="Q1052" s="32">
        <v>2006</v>
      </c>
    </row>
    <row r="1053" spans="1:17" x14ac:dyDescent="0.25">
      <c r="A1053" s="1" t="s">
        <v>399</v>
      </c>
      <c r="B1053" s="31">
        <v>63.5</v>
      </c>
      <c r="C1053" s="1" t="s">
        <v>20</v>
      </c>
      <c r="D1053" s="2">
        <v>42675</v>
      </c>
      <c r="E1053" s="2">
        <v>42675</v>
      </c>
      <c r="F1053" s="17">
        <v>800000</v>
      </c>
      <c r="G1053" s="17">
        <v>12598.43</v>
      </c>
      <c r="H1053" s="1"/>
      <c r="I1053" s="1" t="s">
        <v>21</v>
      </c>
      <c r="J1053" s="1" t="s">
        <v>22</v>
      </c>
      <c r="K1053" s="1" t="s">
        <v>360</v>
      </c>
      <c r="L1053" s="1" t="s">
        <v>359</v>
      </c>
      <c r="M1053" s="1"/>
      <c r="N1053" s="1" t="s">
        <v>234</v>
      </c>
      <c r="O1053" s="31">
        <v>5</v>
      </c>
      <c r="P1053" s="31">
        <v>1</v>
      </c>
      <c r="Q1053" s="32">
        <v>2016</v>
      </c>
    </row>
    <row r="1054" spans="1:17" x14ac:dyDescent="0.25">
      <c r="A1054" s="1" t="s">
        <v>380</v>
      </c>
      <c r="B1054" s="31">
        <v>35.799999999999997</v>
      </c>
      <c r="C1054" s="1" t="s">
        <v>20</v>
      </c>
      <c r="D1054" s="2">
        <v>42736</v>
      </c>
      <c r="E1054" s="2">
        <v>42767</v>
      </c>
      <c r="F1054" s="17">
        <v>454000</v>
      </c>
      <c r="G1054" s="17">
        <v>12681.56</v>
      </c>
      <c r="H1054" s="1"/>
      <c r="I1054" s="1" t="s">
        <v>21</v>
      </c>
      <c r="J1054" s="1" t="s">
        <v>22</v>
      </c>
      <c r="K1054" s="1" t="s">
        <v>360</v>
      </c>
      <c r="L1054" s="1" t="s">
        <v>359</v>
      </c>
      <c r="M1054" s="1"/>
      <c r="N1054" s="1" t="s">
        <v>90</v>
      </c>
      <c r="O1054" s="31">
        <v>5</v>
      </c>
      <c r="P1054" s="31">
        <v>1</v>
      </c>
      <c r="Q1054" s="32">
        <v>2004</v>
      </c>
    </row>
    <row r="1055" spans="1:17" x14ac:dyDescent="0.25">
      <c r="A1055" s="1" t="s">
        <v>373</v>
      </c>
      <c r="B1055" s="31">
        <v>11.7</v>
      </c>
      <c r="C1055" s="1" t="s">
        <v>20</v>
      </c>
      <c r="D1055" s="2">
        <v>42644</v>
      </c>
      <c r="E1055" s="2">
        <v>42644</v>
      </c>
      <c r="F1055" s="17">
        <v>150500</v>
      </c>
      <c r="G1055" s="17">
        <v>12863.25</v>
      </c>
      <c r="H1055" s="1"/>
      <c r="I1055" s="1" t="s">
        <v>21</v>
      </c>
      <c r="J1055" s="1" t="s">
        <v>18</v>
      </c>
      <c r="K1055" s="1" t="s">
        <v>360</v>
      </c>
      <c r="L1055" s="1" t="s">
        <v>359</v>
      </c>
      <c r="M1055" s="1"/>
      <c r="N1055" s="1"/>
      <c r="O1055" s="31">
        <v>1</v>
      </c>
      <c r="P1055" s="31">
        <v>1</v>
      </c>
      <c r="Q1055" s="32">
        <v>2015</v>
      </c>
    </row>
    <row r="1056" spans="1:17" x14ac:dyDescent="0.25">
      <c r="A1056" s="1" t="s">
        <v>376</v>
      </c>
      <c r="B1056" s="31">
        <v>11.7</v>
      </c>
      <c r="C1056" s="1" t="s">
        <v>20</v>
      </c>
      <c r="D1056" s="2">
        <v>42795</v>
      </c>
      <c r="E1056" s="2">
        <v>42795</v>
      </c>
      <c r="F1056" s="17">
        <v>150500</v>
      </c>
      <c r="G1056" s="17">
        <v>12863.25</v>
      </c>
      <c r="H1056" s="1"/>
      <c r="I1056" s="1" t="s">
        <v>21</v>
      </c>
      <c r="J1056" s="1" t="s">
        <v>18</v>
      </c>
      <c r="K1056" s="1" t="s">
        <v>360</v>
      </c>
      <c r="L1056" s="1" t="s">
        <v>359</v>
      </c>
      <c r="M1056" s="1"/>
      <c r="N1056" s="1" t="s">
        <v>386</v>
      </c>
      <c r="O1056" s="31">
        <v>5</v>
      </c>
      <c r="P1056" s="31">
        <v>1</v>
      </c>
      <c r="Q1056" s="32">
        <v>2017</v>
      </c>
    </row>
    <row r="1057" spans="1:17" x14ac:dyDescent="0.25">
      <c r="A1057" s="1" t="s">
        <v>400</v>
      </c>
      <c r="B1057" s="31">
        <v>61.5</v>
      </c>
      <c r="C1057" s="1" t="s">
        <v>20</v>
      </c>
      <c r="D1057" s="2">
        <v>42675</v>
      </c>
      <c r="E1057" s="2">
        <v>42675</v>
      </c>
      <c r="F1057" s="17">
        <v>800000</v>
      </c>
      <c r="G1057" s="17">
        <v>13008.13</v>
      </c>
      <c r="H1057" s="1"/>
      <c r="I1057" s="1" t="s">
        <v>21</v>
      </c>
      <c r="J1057" s="1" t="s">
        <v>22</v>
      </c>
      <c r="K1057" s="1" t="s">
        <v>360</v>
      </c>
      <c r="L1057" s="1" t="s">
        <v>359</v>
      </c>
      <c r="M1057" s="1"/>
      <c r="N1057" s="1"/>
      <c r="O1057" s="31">
        <v>2</v>
      </c>
      <c r="P1057" s="31">
        <v>1</v>
      </c>
      <c r="Q1057" s="32">
        <v>2016</v>
      </c>
    </row>
    <row r="1058" spans="1:17" x14ac:dyDescent="0.25">
      <c r="A1058" s="1" t="s">
        <v>384</v>
      </c>
      <c r="B1058" s="31">
        <v>61.4</v>
      </c>
      <c r="C1058" s="1" t="s">
        <v>20</v>
      </c>
      <c r="D1058" s="2">
        <v>42675</v>
      </c>
      <c r="E1058" s="2">
        <v>42675</v>
      </c>
      <c r="F1058" s="17">
        <v>800000</v>
      </c>
      <c r="G1058" s="17">
        <v>13029.32</v>
      </c>
      <c r="H1058" s="1"/>
      <c r="I1058" s="1" t="s">
        <v>21</v>
      </c>
      <c r="J1058" s="1" t="s">
        <v>32</v>
      </c>
      <c r="K1058" s="1" t="s">
        <v>360</v>
      </c>
      <c r="L1058" s="1" t="s">
        <v>359</v>
      </c>
      <c r="M1058" s="1"/>
      <c r="N1058" s="1" t="s">
        <v>363</v>
      </c>
      <c r="O1058" s="31">
        <v>4</v>
      </c>
      <c r="P1058" s="31">
        <v>1</v>
      </c>
      <c r="Q1058" s="32">
        <v>2004</v>
      </c>
    </row>
    <row r="1059" spans="1:17" x14ac:dyDescent="0.25">
      <c r="A1059" s="1" t="s">
        <v>384</v>
      </c>
      <c r="B1059" s="31">
        <v>61.3</v>
      </c>
      <c r="C1059" s="1" t="s">
        <v>20</v>
      </c>
      <c r="D1059" s="2">
        <v>42736</v>
      </c>
      <c r="E1059" s="2">
        <v>42736</v>
      </c>
      <c r="F1059" s="17">
        <v>800000</v>
      </c>
      <c r="G1059" s="17">
        <v>13050.57</v>
      </c>
      <c r="H1059" s="1"/>
      <c r="I1059" s="1" t="s">
        <v>21</v>
      </c>
      <c r="J1059" s="1" t="s">
        <v>22</v>
      </c>
      <c r="K1059" s="1" t="s">
        <v>360</v>
      </c>
      <c r="L1059" s="1" t="s">
        <v>359</v>
      </c>
      <c r="M1059" s="1"/>
      <c r="N1059" s="1" t="s">
        <v>363</v>
      </c>
      <c r="O1059" s="31">
        <v>4</v>
      </c>
      <c r="P1059" s="31">
        <v>2</v>
      </c>
      <c r="Q1059" s="32">
        <v>2008</v>
      </c>
    </row>
    <row r="1060" spans="1:17" x14ac:dyDescent="0.25">
      <c r="A1060" s="1" t="s">
        <v>384</v>
      </c>
      <c r="B1060" s="31">
        <v>61.3</v>
      </c>
      <c r="C1060" s="1" t="s">
        <v>20</v>
      </c>
      <c r="D1060" s="2">
        <v>42736</v>
      </c>
      <c r="E1060" s="2">
        <v>42736</v>
      </c>
      <c r="F1060" s="17">
        <v>800000</v>
      </c>
      <c r="G1060" s="17">
        <v>13050.57</v>
      </c>
      <c r="H1060" s="1"/>
      <c r="I1060" s="1" t="s">
        <v>21</v>
      </c>
      <c r="J1060" s="1" t="s">
        <v>22</v>
      </c>
      <c r="K1060" s="1" t="s">
        <v>360</v>
      </c>
      <c r="L1060" s="1" t="s">
        <v>359</v>
      </c>
      <c r="M1060" s="1"/>
      <c r="N1060" s="1" t="s">
        <v>363</v>
      </c>
      <c r="O1060" s="31">
        <v>4</v>
      </c>
      <c r="P1060" s="31">
        <v>2</v>
      </c>
      <c r="Q1060" s="32">
        <v>2008</v>
      </c>
    </row>
    <row r="1061" spans="1:17" x14ac:dyDescent="0.25">
      <c r="A1061" s="1" t="s">
        <v>373</v>
      </c>
      <c r="B1061" s="31">
        <v>13.4</v>
      </c>
      <c r="C1061" s="1" t="s">
        <v>20</v>
      </c>
      <c r="D1061" s="2">
        <v>42644</v>
      </c>
      <c r="E1061" s="2">
        <v>42644</v>
      </c>
      <c r="F1061" s="17">
        <v>176000</v>
      </c>
      <c r="G1061" s="17">
        <v>13134.33</v>
      </c>
      <c r="H1061" s="1"/>
      <c r="I1061" s="1" t="s">
        <v>21</v>
      </c>
      <c r="J1061" s="1" t="s">
        <v>18</v>
      </c>
      <c r="K1061" s="1" t="s">
        <v>360</v>
      </c>
      <c r="L1061" s="1" t="s">
        <v>359</v>
      </c>
      <c r="M1061" s="1"/>
      <c r="N1061" s="1"/>
      <c r="O1061" s="31">
        <v>1</v>
      </c>
      <c r="P1061" s="31">
        <v>1</v>
      </c>
      <c r="Q1061" s="32">
        <v>2015</v>
      </c>
    </row>
    <row r="1062" spans="1:17" x14ac:dyDescent="0.25">
      <c r="A1062" s="1" t="s">
        <v>376</v>
      </c>
      <c r="B1062" s="31">
        <v>30.2</v>
      </c>
      <c r="C1062" s="1" t="s">
        <v>20</v>
      </c>
      <c r="D1062" s="2">
        <v>42705</v>
      </c>
      <c r="E1062" s="2">
        <v>42705</v>
      </c>
      <c r="F1062" s="17">
        <v>400000</v>
      </c>
      <c r="G1062" s="17">
        <v>13245.03</v>
      </c>
      <c r="H1062" s="1"/>
      <c r="I1062" s="1" t="s">
        <v>21</v>
      </c>
      <c r="J1062" s="1" t="s">
        <v>22</v>
      </c>
      <c r="K1062" s="1" t="s">
        <v>360</v>
      </c>
      <c r="L1062" s="1" t="s">
        <v>359</v>
      </c>
      <c r="M1062" s="1"/>
      <c r="N1062" s="1" t="s">
        <v>336</v>
      </c>
      <c r="O1062" s="31">
        <v>3</v>
      </c>
      <c r="P1062" s="31">
        <v>1</v>
      </c>
      <c r="Q1062" s="32">
        <v>2010</v>
      </c>
    </row>
    <row r="1063" spans="1:17" x14ac:dyDescent="0.25">
      <c r="A1063" s="1" t="s">
        <v>402</v>
      </c>
      <c r="B1063" s="31">
        <v>42.2</v>
      </c>
      <c r="C1063" s="1" t="s">
        <v>20</v>
      </c>
      <c r="D1063" s="2">
        <v>42767</v>
      </c>
      <c r="E1063" s="2">
        <v>42767</v>
      </c>
      <c r="F1063" s="17">
        <v>600000</v>
      </c>
      <c r="G1063" s="17">
        <v>14218.01</v>
      </c>
      <c r="H1063" s="1"/>
      <c r="I1063" s="1" t="s">
        <v>21</v>
      </c>
      <c r="J1063" s="1" t="s">
        <v>22</v>
      </c>
      <c r="K1063" s="1" t="s">
        <v>360</v>
      </c>
      <c r="L1063" s="1" t="s">
        <v>359</v>
      </c>
      <c r="M1063" s="1"/>
      <c r="N1063" s="1" t="s">
        <v>299</v>
      </c>
      <c r="O1063" s="31">
        <v>3</v>
      </c>
      <c r="P1063" s="31">
        <v>1</v>
      </c>
      <c r="Q1063" s="32">
        <v>2016</v>
      </c>
    </row>
    <row r="1064" spans="1:17" x14ac:dyDescent="0.25">
      <c r="A1064" s="1" t="s">
        <v>373</v>
      </c>
      <c r="B1064" s="31">
        <v>11.5</v>
      </c>
      <c r="C1064" s="1" t="s">
        <v>20</v>
      </c>
      <c r="D1064" s="2">
        <v>42705</v>
      </c>
      <c r="E1064" s="2">
        <v>42705</v>
      </c>
      <c r="F1064" s="17">
        <v>164000</v>
      </c>
      <c r="G1064" s="17">
        <v>14260.87</v>
      </c>
      <c r="H1064" s="1"/>
      <c r="I1064" s="1" t="s">
        <v>21</v>
      </c>
      <c r="J1064" s="1" t="s">
        <v>18</v>
      </c>
      <c r="K1064" s="1" t="s">
        <v>360</v>
      </c>
      <c r="L1064" s="1" t="s">
        <v>359</v>
      </c>
      <c r="M1064" s="1"/>
      <c r="N1064" s="1" t="s">
        <v>386</v>
      </c>
      <c r="O1064" s="31">
        <v>9</v>
      </c>
      <c r="P1064" s="31">
        <v>1</v>
      </c>
      <c r="Q1064" s="32">
        <v>2016</v>
      </c>
    </row>
    <row r="1065" spans="1:17" x14ac:dyDescent="0.25">
      <c r="A1065" s="1" t="s">
        <v>412</v>
      </c>
      <c r="B1065" s="31">
        <v>31.7</v>
      </c>
      <c r="C1065" s="1" t="s">
        <v>20</v>
      </c>
      <c r="D1065" s="2">
        <v>42767</v>
      </c>
      <c r="E1065" s="2">
        <v>42767</v>
      </c>
      <c r="F1065" s="17">
        <v>453000</v>
      </c>
      <c r="G1065" s="17">
        <v>14290.22</v>
      </c>
      <c r="H1065" s="1"/>
      <c r="I1065" s="1" t="s">
        <v>21</v>
      </c>
      <c r="J1065" s="1" t="s">
        <v>22</v>
      </c>
      <c r="K1065" s="1" t="s">
        <v>360</v>
      </c>
      <c r="L1065" s="1" t="s">
        <v>359</v>
      </c>
      <c r="M1065" s="1"/>
      <c r="N1065" s="1" t="s">
        <v>128</v>
      </c>
      <c r="O1065" s="31">
        <v>4</v>
      </c>
      <c r="P1065" s="31">
        <v>1</v>
      </c>
      <c r="Q1065" s="32">
        <v>2005</v>
      </c>
    </row>
    <row r="1066" spans="1:17" x14ac:dyDescent="0.25">
      <c r="A1066" s="1" t="s">
        <v>367</v>
      </c>
      <c r="B1066" s="31">
        <v>123.3</v>
      </c>
      <c r="C1066" s="1" t="s">
        <v>20</v>
      </c>
      <c r="D1066" s="2">
        <v>42705</v>
      </c>
      <c r="E1066" s="2">
        <v>42705</v>
      </c>
      <c r="F1066" s="17">
        <v>1800000</v>
      </c>
      <c r="G1066" s="17">
        <v>14598.54</v>
      </c>
      <c r="H1066" s="1"/>
      <c r="I1066" s="1" t="s">
        <v>21</v>
      </c>
      <c r="J1066" s="1" t="s">
        <v>22</v>
      </c>
      <c r="K1066" s="1" t="s">
        <v>360</v>
      </c>
      <c r="L1066" s="1" t="s">
        <v>359</v>
      </c>
      <c r="M1066" s="1"/>
      <c r="N1066" s="1" t="s">
        <v>336</v>
      </c>
      <c r="O1066" s="31">
        <v>4</v>
      </c>
      <c r="P1066" s="31">
        <v>2</v>
      </c>
      <c r="Q1066" s="32">
        <v>2015</v>
      </c>
    </row>
    <row r="1067" spans="1:17" x14ac:dyDescent="0.25">
      <c r="A1067" s="1" t="s">
        <v>367</v>
      </c>
      <c r="B1067" s="31">
        <v>123.3</v>
      </c>
      <c r="C1067" s="1" t="s">
        <v>20</v>
      </c>
      <c r="D1067" s="2">
        <v>42705</v>
      </c>
      <c r="E1067" s="2">
        <v>42705</v>
      </c>
      <c r="F1067" s="17">
        <v>1800000</v>
      </c>
      <c r="G1067" s="17">
        <v>14598.54</v>
      </c>
      <c r="H1067" s="1"/>
      <c r="I1067" s="1" t="s">
        <v>21</v>
      </c>
      <c r="J1067" s="1" t="s">
        <v>22</v>
      </c>
      <c r="K1067" s="1" t="s">
        <v>360</v>
      </c>
      <c r="L1067" s="1" t="s">
        <v>359</v>
      </c>
      <c r="M1067" s="1"/>
      <c r="N1067" s="1" t="s">
        <v>336</v>
      </c>
      <c r="O1067" s="31">
        <v>4</v>
      </c>
      <c r="P1067" s="31">
        <v>2</v>
      </c>
      <c r="Q1067" s="32">
        <v>2015</v>
      </c>
    </row>
    <row r="1068" spans="1:17" x14ac:dyDescent="0.25">
      <c r="A1068" s="1" t="s">
        <v>402</v>
      </c>
      <c r="B1068" s="31">
        <v>40.799999999999997</v>
      </c>
      <c r="C1068" s="1" t="s">
        <v>20</v>
      </c>
      <c r="D1068" s="2">
        <v>42767</v>
      </c>
      <c r="E1068" s="2">
        <v>42767</v>
      </c>
      <c r="F1068" s="17">
        <v>600000</v>
      </c>
      <c r="G1068" s="17">
        <v>14705.88</v>
      </c>
      <c r="H1068" s="1"/>
      <c r="I1068" s="1" t="s">
        <v>21</v>
      </c>
      <c r="J1068" s="1" t="s">
        <v>22</v>
      </c>
      <c r="K1068" s="1" t="s">
        <v>360</v>
      </c>
      <c r="L1068" s="1" t="s">
        <v>359</v>
      </c>
      <c r="M1068" s="1"/>
      <c r="N1068" s="1" t="s">
        <v>299</v>
      </c>
      <c r="O1068" s="31">
        <v>5</v>
      </c>
      <c r="P1068" s="31">
        <v>1</v>
      </c>
      <c r="Q1068" s="32">
        <v>2016</v>
      </c>
    </row>
    <row r="1069" spans="1:17" x14ac:dyDescent="0.25">
      <c r="A1069" s="1" t="s">
        <v>367</v>
      </c>
      <c r="B1069" s="31">
        <v>30.3</v>
      </c>
      <c r="C1069" s="1" t="s">
        <v>20</v>
      </c>
      <c r="D1069" s="2">
        <v>42675</v>
      </c>
      <c r="E1069" s="2">
        <v>42675</v>
      </c>
      <c r="F1069" s="17">
        <v>453026</v>
      </c>
      <c r="G1069" s="17">
        <v>14951.35</v>
      </c>
      <c r="H1069" s="1"/>
      <c r="I1069" s="1" t="s">
        <v>21</v>
      </c>
      <c r="J1069" s="1" t="s">
        <v>22</v>
      </c>
      <c r="K1069" s="1" t="s">
        <v>360</v>
      </c>
      <c r="L1069" s="1" t="s">
        <v>359</v>
      </c>
      <c r="M1069" s="1"/>
      <c r="N1069" s="1" t="s">
        <v>336</v>
      </c>
      <c r="O1069" s="31">
        <v>7</v>
      </c>
      <c r="P1069" s="31">
        <v>1</v>
      </c>
      <c r="Q1069" s="32">
        <v>2016</v>
      </c>
    </row>
    <row r="1070" spans="1:17" x14ac:dyDescent="0.25">
      <c r="A1070" s="1" t="s">
        <v>389</v>
      </c>
      <c r="B1070" s="31">
        <v>82</v>
      </c>
      <c r="C1070" s="1" t="s">
        <v>20</v>
      </c>
      <c r="D1070" s="2">
        <v>42675</v>
      </c>
      <c r="E1070" s="2">
        <v>42705</v>
      </c>
      <c r="F1070" s="17">
        <v>1250000</v>
      </c>
      <c r="G1070" s="17">
        <v>15243.9</v>
      </c>
      <c r="H1070" s="1"/>
      <c r="I1070" s="1" t="s">
        <v>21</v>
      </c>
      <c r="J1070" s="1" t="s">
        <v>22</v>
      </c>
      <c r="K1070" s="1" t="s">
        <v>360</v>
      </c>
      <c r="L1070" s="1" t="s">
        <v>359</v>
      </c>
      <c r="M1070" s="1"/>
      <c r="N1070" s="1" t="s">
        <v>390</v>
      </c>
      <c r="O1070" s="31">
        <v>2</v>
      </c>
      <c r="P1070" s="31">
        <v>2</v>
      </c>
      <c r="Q1070" s="32">
        <v>2015</v>
      </c>
    </row>
    <row r="1071" spans="1:17" x14ac:dyDescent="0.25">
      <c r="A1071" s="1" t="s">
        <v>389</v>
      </c>
      <c r="B1071" s="31">
        <v>82</v>
      </c>
      <c r="C1071" s="1" t="s">
        <v>20</v>
      </c>
      <c r="D1071" s="2">
        <v>42675</v>
      </c>
      <c r="E1071" s="2">
        <v>42705</v>
      </c>
      <c r="F1071" s="17">
        <v>1250000</v>
      </c>
      <c r="G1071" s="17">
        <v>15243.9</v>
      </c>
      <c r="H1071" s="1"/>
      <c r="I1071" s="1" t="s">
        <v>21</v>
      </c>
      <c r="J1071" s="1" t="s">
        <v>22</v>
      </c>
      <c r="K1071" s="1" t="s">
        <v>360</v>
      </c>
      <c r="L1071" s="1" t="s">
        <v>359</v>
      </c>
      <c r="M1071" s="1"/>
      <c r="N1071" s="1" t="s">
        <v>390</v>
      </c>
      <c r="O1071" s="31">
        <v>2</v>
      </c>
      <c r="P1071" s="31">
        <v>2</v>
      </c>
      <c r="Q1071" s="32">
        <v>2015</v>
      </c>
    </row>
    <row r="1072" spans="1:17" x14ac:dyDescent="0.25">
      <c r="A1072" s="1" t="s">
        <v>391</v>
      </c>
      <c r="B1072" s="31">
        <v>68.8</v>
      </c>
      <c r="C1072" s="1" t="s">
        <v>20</v>
      </c>
      <c r="D1072" s="2">
        <v>42644</v>
      </c>
      <c r="E1072" s="2">
        <v>42644</v>
      </c>
      <c r="F1072" s="17">
        <v>1050000</v>
      </c>
      <c r="G1072" s="17">
        <v>15261.63</v>
      </c>
      <c r="H1072" s="1"/>
      <c r="I1072" s="1" t="s">
        <v>21</v>
      </c>
      <c r="J1072" s="1" t="s">
        <v>22</v>
      </c>
      <c r="K1072" s="1" t="s">
        <v>360</v>
      </c>
      <c r="L1072" s="1" t="s">
        <v>359</v>
      </c>
      <c r="M1072" s="1"/>
      <c r="N1072" s="1" t="s">
        <v>234</v>
      </c>
      <c r="O1072" s="31">
        <v>4</v>
      </c>
      <c r="P1072" s="31">
        <v>1</v>
      </c>
      <c r="Q1072" s="32">
        <v>2013</v>
      </c>
    </row>
    <row r="1073" spans="1:17" x14ac:dyDescent="0.25">
      <c r="A1073" s="1" t="s">
        <v>401</v>
      </c>
      <c r="B1073" s="31">
        <v>50.5</v>
      </c>
      <c r="C1073" s="1" t="s">
        <v>20</v>
      </c>
      <c r="D1073" s="2">
        <v>42675</v>
      </c>
      <c r="E1073" s="2">
        <v>42675</v>
      </c>
      <c r="F1073" s="17">
        <v>774613</v>
      </c>
      <c r="G1073" s="17">
        <v>15338.87</v>
      </c>
      <c r="H1073" s="1"/>
      <c r="I1073" s="1" t="s">
        <v>21</v>
      </c>
      <c r="J1073" s="1" t="s">
        <v>22</v>
      </c>
      <c r="K1073" s="1" t="s">
        <v>360</v>
      </c>
      <c r="L1073" s="1" t="s">
        <v>359</v>
      </c>
      <c r="M1073" s="1"/>
      <c r="N1073" s="1"/>
      <c r="O1073" s="31">
        <v>3</v>
      </c>
      <c r="P1073" s="31">
        <v>2</v>
      </c>
      <c r="Q1073" s="32">
        <v>2016</v>
      </c>
    </row>
    <row r="1074" spans="1:17" x14ac:dyDescent="0.25">
      <c r="A1074" s="1" t="s">
        <v>401</v>
      </c>
      <c r="B1074" s="31">
        <v>50.5</v>
      </c>
      <c r="C1074" s="1" t="s">
        <v>20</v>
      </c>
      <c r="D1074" s="2">
        <v>42675</v>
      </c>
      <c r="E1074" s="2">
        <v>42675</v>
      </c>
      <c r="F1074" s="17">
        <v>774613</v>
      </c>
      <c r="G1074" s="17">
        <v>15338.87</v>
      </c>
      <c r="H1074" s="1"/>
      <c r="I1074" s="1" t="s">
        <v>21</v>
      </c>
      <c r="J1074" s="1" t="s">
        <v>22</v>
      </c>
      <c r="K1074" s="1" t="s">
        <v>360</v>
      </c>
      <c r="L1074" s="1" t="s">
        <v>359</v>
      </c>
      <c r="M1074" s="1"/>
      <c r="N1074" s="1"/>
      <c r="O1074" s="31">
        <v>3</v>
      </c>
      <c r="P1074" s="31">
        <v>2</v>
      </c>
      <c r="Q1074" s="32">
        <v>2016</v>
      </c>
    </row>
    <row r="1075" spans="1:17" x14ac:dyDescent="0.25">
      <c r="A1075" s="1" t="s">
        <v>391</v>
      </c>
      <c r="B1075" s="31">
        <v>28.4</v>
      </c>
      <c r="C1075" s="1" t="s">
        <v>20</v>
      </c>
      <c r="D1075" s="2">
        <v>42736</v>
      </c>
      <c r="E1075" s="2">
        <v>42767</v>
      </c>
      <c r="F1075" s="17">
        <v>440000</v>
      </c>
      <c r="G1075" s="17">
        <v>15492.96</v>
      </c>
      <c r="H1075" s="1"/>
      <c r="I1075" s="1" t="s">
        <v>21</v>
      </c>
      <c r="J1075" s="1" t="s">
        <v>22</v>
      </c>
      <c r="K1075" s="1" t="s">
        <v>360</v>
      </c>
      <c r="L1075" s="1" t="s">
        <v>359</v>
      </c>
      <c r="M1075" s="1"/>
      <c r="N1075" s="1" t="s">
        <v>234</v>
      </c>
      <c r="O1075" s="31">
        <v>1</v>
      </c>
      <c r="P1075" s="31">
        <v>1</v>
      </c>
      <c r="Q1075" s="32">
        <v>2001</v>
      </c>
    </row>
    <row r="1076" spans="1:17" x14ac:dyDescent="0.25">
      <c r="A1076" s="1" t="s">
        <v>375</v>
      </c>
      <c r="B1076" s="31">
        <v>29.2</v>
      </c>
      <c r="C1076" s="1" t="s">
        <v>20</v>
      </c>
      <c r="D1076" s="2">
        <v>42795</v>
      </c>
      <c r="E1076" s="2">
        <v>42795</v>
      </c>
      <c r="F1076" s="17">
        <v>453500</v>
      </c>
      <c r="G1076" s="17">
        <v>15530.82</v>
      </c>
      <c r="H1076" s="1"/>
      <c r="I1076" s="1" t="s">
        <v>21</v>
      </c>
      <c r="J1076" s="1" t="s">
        <v>32</v>
      </c>
      <c r="K1076" s="1" t="s">
        <v>360</v>
      </c>
      <c r="L1076" s="1" t="s">
        <v>359</v>
      </c>
      <c r="M1076" s="1"/>
      <c r="N1076" s="1" t="s">
        <v>128</v>
      </c>
      <c r="O1076" s="31">
        <v>3</v>
      </c>
      <c r="P1076" s="31">
        <v>1</v>
      </c>
      <c r="Q1076" s="32">
        <v>2004</v>
      </c>
    </row>
    <row r="1077" spans="1:17" x14ac:dyDescent="0.25">
      <c r="A1077" s="1" t="s">
        <v>389</v>
      </c>
      <c r="B1077" s="31">
        <v>28.9</v>
      </c>
      <c r="C1077" s="1" t="s">
        <v>20</v>
      </c>
      <c r="D1077" s="2">
        <v>42705</v>
      </c>
      <c r="E1077" s="2">
        <v>42705</v>
      </c>
      <c r="F1077" s="17">
        <v>453026</v>
      </c>
      <c r="G1077" s="17">
        <v>15675.64</v>
      </c>
      <c r="H1077" s="1"/>
      <c r="I1077" s="1" t="s">
        <v>21</v>
      </c>
      <c r="J1077" s="1" t="s">
        <v>22</v>
      </c>
      <c r="K1077" s="1" t="s">
        <v>360</v>
      </c>
      <c r="L1077" s="1" t="s">
        <v>359</v>
      </c>
      <c r="M1077" s="1"/>
      <c r="N1077" s="1" t="s">
        <v>153</v>
      </c>
      <c r="O1077" s="31">
        <v>2</v>
      </c>
      <c r="P1077" s="31">
        <v>1</v>
      </c>
      <c r="Q1077" s="32">
        <v>2012</v>
      </c>
    </row>
    <row r="1078" spans="1:17" x14ac:dyDescent="0.25">
      <c r="A1078" s="1" t="s">
        <v>415</v>
      </c>
      <c r="B1078" s="31">
        <v>66.2</v>
      </c>
      <c r="C1078" s="1" t="s">
        <v>20</v>
      </c>
      <c r="D1078" s="2">
        <v>42795</v>
      </c>
      <c r="E1078" s="2">
        <v>42795</v>
      </c>
      <c r="F1078" s="17">
        <v>1100000</v>
      </c>
      <c r="G1078" s="17">
        <v>16616.310000000001</v>
      </c>
      <c r="H1078" s="1"/>
      <c r="I1078" s="1" t="s">
        <v>21</v>
      </c>
      <c r="J1078" s="1" t="s">
        <v>22</v>
      </c>
      <c r="K1078" s="1" t="s">
        <v>360</v>
      </c>
      <c r="L1078" s="1" t="s">
        <v>359</v>
      </c>
      <c r="M1078" s="1"/>
      <c r="N1078" s="1" t="s">
        <v>370</v>
      </c>
      <c r="O1078" s="31">
        <v>5</v>
      </c>
      <c r="P1078" s="31">
        <v>2</v>
      </c>
      <c r="Q1078" s="32">
        <v>2008</v>
      </c>
    </row>
    <row r="1079" spans="1:17" x14ac:dyDescent="0.25">
      <c r="A1079" s="1" t="s">
        <v>415</v>
      </c>
      <c r="B1079" s="31">
        <v>66.2</v>
      </c>
      <c r="C1079" s="1" t="s">
        <v>20</v>
      </c>
      <c r="D1079" s="2">
        <v>42795</v>
      </c>
      <c r="E1079" s="2">
        <v>42795</v>
      </c>
      <c r="F1079" s="17">
        <v>1100000</v>
      </c>
      <c r="G1079" s="17">
        <v>16616.310000000001</v>
      </c>
      <c r="H1079" s="1"/>
      <c r="I1079" s="1" t="s">
        <v>21</v>
      </c>
      <c r="J1079" s="1" t="s">
        <v>22</v>
      </c>
      <c r="K1079" s="1" t="s">
        <v>360</v>
      </c>
      <c r="L1079" s="1" t="s">
        <v>359</v>
      </c>
      <c r="M1079" s="1"/>
      <c r="N1079" s="1" t="s">
        <v>370</v>
      </c>
      <c r="O1079" s="31">
        <v>5</v>
      </c>
      <c r="P1079" s="31">
        <v>2</v>
      </c>
      <c r="Q1079" s="32">
        <v>2008</v>
      </c>
    </row>
    <row r="1080" spans="1:17" x14ac:dyDescent="0.25">
      <c r="A1080" s="1" t="s">
        <v>381</v>
      </c>
      <c r="B1080" s="31">
        <v>57.1</v>
      </c>
      <c r="C1080" s="1" t="s">
        <v>20</v>
      </c>
      <c r="D1080" s="2">
        <v>42644</v>
      </c>
      <c r="E1080" s="2">
        <v>42644</v>
      </c>
      <c r="F1080" s="17">
        <v>950000</v>
      </c>
      <c r="G1080" s="17">
        <v>16637.48</v>
      </c>
      <c r="H1080" s="1"/>
      <c r="I1080" s="1" t="s">
        <v>21</v>
      </c>
      <c r="J1080" s="1" t="s">
        <v>32</v>
      </c>
      <c r="K1080" s="1" t="s">
        <v>360</v>
      </c>
      <c r="L1080" s="1" t="s">
        <v>359</v>
      </c>
      <c r="M1080" s="1"/>
      <c r="N1080" s="1" t="s">
        <v>363</v>
      </c>
      <c r="O1080" s="31">
        <v>4</v>
      </c>
      <c r="P1080" s="31">
        <v>1</v>
      </c>
      <c r="Q1080" s="32">
        <v>2003</v>
      </c>
    </row>
    <row r="1081" spans="1:17" x14ac:dyDescent="0.25">
      <c r="A1081" s="1" t="s">
        <v>409</v>
      </c>
      <c r="B1081" s="31">
        <v>60</v>
      </c>
      <c r="C1081" s="1" t="s">
        <v>20</v>
      </c>
      <c r="D1081" s="2">
        <v>42705</v>
      </c>
      <c r="E1081" s="2">
        <v>42705</v>
      </c>
      <c r="F1081" s="17">
        <v>1000000</v>
      </c>
      <c r="G1081" s="17">
        <v>16666.669999999998</v>
      </c>
      <c r="H1081" s="1"/>
      <c r="I1081" s="1" t="s">
        <v>21</v>
      </c>
      <c r="J1081" s="1" t="s">
        <v>22</v>
      </c>
      <c r="K1081" s="1" t="s">
        <v>360</v>
      </c>
      <c r="L1081" s="1" t="s">
        <v>359</v>
      </c>
      <c r="M1081" s="1"/>
      <c r="N1081" s="1" t="s">
        <v>372</v>
      </c>
      <c r="O1081" s="31">
        <v>1</v>
      </c>
      <c r="P1081" s="31">
        <v>1</v>
      </c>
      <c r="Q1081" s="32">
        <v>2012</v>
      </c>
    </row>
    <row r="1082" spans="1:17" x14ac:dyDescent="0.25">
      <c r="A1082" s="1" t="s">
        <v>376</v>
      </c>
      <c r="B1082" s="31">
        <v>32</v>
      </c>
      <c r="C1082" s="1" t="s">
        <v>20</v>
      </c>
      <c r="D1082" s="2">
        <v>42767</v>
      </c>
      <c r="E1082" s="2">
        <v>42767</v>
      </c>
      <c r="F1082" s="17">
        <v>550000</v>
      </c>
      <c r="G1082" s="17">
        <v>17187.5</v>
      </c>
      <c r="H1082" s="1"/>
      <c r="I1082" s="1" t="s">
        <v>21</v>
      </c>
      <c r="J1082" s="1" t="s">
        <v>22</v>
      </c>
      <c r="K1082" s="1" t="s">
        <v>360</v>
      </c>
      <c r="L1082" s="1" t="s">
        <v>359</v>
      </c>
      <c r="M1082" s="1"/>
      <c r="N1082" s="1" t="s">
        <v>128</v>
      </c>
      <c r="O1082" s="31">
        <v>1</v>
      </c>
      <c r="P1082" s="31">
        <v>2</v>
      </c>
      <c r="Q1082" s="32">
        <v>1999</v>
      </c>
    </row>
    <row r="1083" spans="1:17" x14ac:dyDescent="0.25">
      <c r="A1083" s="1" t="s">
        <v>376</v>
      </c>
      <c r="B1083" s="31">
        <v>32</v>
      </c>
      <c r="C1083" s="1" t="s">
        <v>20</v>
      </c>
      <c r="D1083" s="2">
        <v>42767</v>
      </c>
      <c r="E1083" s="2">
        <v>42767</v>
      </c>
      <c r="F1083" s="17">
        <v>550000</v>
      </c>
      <c r="G1083" s="17">
        <v>17187.5</v>
      </c>
      <c r="H1083" s="1"/>
      <c r="I1083" s="1" t="s">
        <v>21</v>
      </c>
      <c r="J1083" s="1" t="s">
        <v>22</v>
      </c>
      <c r="K1083" s="1" t="s">
        <v>360</v>
      </c>
      <c r="L1083" s="1" t="s">
        <v>359</v>
      </c>
      <c r="M1083" s="1"/>
      <c r="N1083" s="1" t="s">
        <v>128</v>
      </c>
      <c r="O1083" s="31">
        <v>1</v>
      </c>
      <c r="P1083" s="31">
        <v>2</v>
      </c>
      <c r="Q1083" s="32">
        <v>1999</v>
      </c>
    </row>
    <row r="1084" spans="1:17" x14ac:dyDescent="0.25">
      <c r="A1084" s="1" t="s">
        <v>402</v>
      </c>
      <c r="B1084" s="31">
        <v>40.1</v>
      </c>
      <c r="C1084" s="1" t="s">
        <v>20</v>
      </c>
      <c r="D1084" s="2">
        <v>42675</v>
      </c>
      <c r="E1084" s="2">
        <v>42675</v>
      </c>
      <c r="F1084" s="17">
        <v>700000</v>
      </c>
      <c r="G1084" s="17">
        <v>17456.36</v>
      </c>
      <c r="H1084" s="1"/>
      <c r="I1084" s="1" t="s">
        <v>21</v>
      </c>
      <c r="J1084" s="1" t="s">
        <v>22</v>
      </c>
      <c r="K1084" s="1" t="s">
        <v>360</v>
      </c>
      <c r="L1084" s="1" t="s">
        <v>359</v>
      </c>
      <c r="M1084" s="1"/>
      <c r="N1084" s="1" t="s">
        <v>299</v>
      </c>
      <c r="O1084" s="31">
        <v>6</v>
      </c>
      <c r="P1084" s="31">
        <v>1</v>
      </c>
      <c r="Q1084" s="32">
        <v>2016</v>
      </c>
    </row>
    <row r="1085" spans="1:17" x14ac:dyDescent="0.25">
      <c r="A1085" s="1" t="s">
        <v>401</v>
      </c>
      <c r="B1085" s="31">
        <v>51</v>
      </c>
      <c r="C1085" s="1" t="s">
        <v>20</v>
      </c>
      <c r="D1085" s="2">
        <v>42736</v>
      </c>
      <c r="E1085" s="2">
        <v>42736</v>
      </c>
      <c r="F1085" s="17">
        <v>900000</v>
      </c>
      <c r="G1085" s="17">
        <v>17647.060000000001</v>
      </c>
      <c r="H1085" s="1"/>
      <c r="I1085" s="1" t="s">
        <v>21</v>
      </c>
      <c r="J1085" s="1" t="s">
        <v>22</v>
      </c>
      <c r="K1085" s="1" t="s">
        <v>360</v>
      </c>
      <c r="L1085" s="1" t="s">
        <v>359</v>
      </c>
      <c r="M1085" s="1"/>
      <c r="N1085" s="1"/>
      <c r="O1085" s="31">
        <v>4</v>
      </c>
      <c r="P1085" s="31">
        <v>1</v>
      </c>
      <c r="Q1085" s="32">
        <v>2017</v>
      </c>
    </row>
    <row r="1086" spans="1:17" x14ac:dyDescent="0.25">
      <c r="A1086" s="1" t="s">
        <v>367</v>
      </c>
      <c r="B1086" s="31">
        <v>33.9</v>
      </c>
      <c r="C1086" s="1" t="s">
        <v>20</v>
      </c>
      <c r="D1086" s="2">
        <v>42767</v>
      </c>
      <c r="E1086" s="2">
        <v>42795</v>
      </c>
      <c r="F1086" s="17">
        <v>600000</v>
      </c>
      <c r="G1086" s="17">
        <v>17699.12</v>
      </c>
      <c r="H1086" s="1"/>
      <c r="I1086" s="1" t="s">
        <v>21</v>
      </c>
      <c r="J1086" s="1" t="s">
        <v>22</v>
      </c>
      <c r="K1086" s="1" t="s">
        <v>360</v>
      </c>
      <c r="L1086" s="1" t="s">
        <v>359</v>
      </c>
      <c r="M1086" s="1"/>
      <c r="N1086" s="1" t="s">
        <v>336</v>
      </c>
      <c r="O1086" s="31">
        <v>8</v>
      </c>
      <c r="P1086" s="31">
        <v>1</v>
      </c>
      <c r="Q1086" s="32">
        <v>2016</v>
      </c>
    </row>
    <row r="1087" spans="1:17" x14ac:dyDescent="0.25">
      <c r="A1087" s="1" t="s">
        <v>391</v>
      </c>
      <c r="B1087" s="31">
        <v>61.9</v>
      </c>
      <c r="C1087" s="1" t="s">
        <v>20</v>
      </c>
      <c r="D1087" s="2">
        <v>42675</v>
      </c>
      <c r="E1087" s="2">
        <v>42675</v>
      </c>
      <c r="F1087" s="17">
        <v>1100000</v>
      </c>
      <c r="G1087" s="17">
        <v>17770.599999999999</v>
      </c>
      <c r="H1087" s="1"/>
      <c r="I1087" s="1" t="s">
        <v>21</v>
      </c>
      <c r="J1087" s="1" t="s">
        <v>22</v>
      </c>
      <c r="K1087" s="1" t="s">
        <v>360</v>
      </c>
      <c r="L1087" s="1" t="s">
        <v>359</v>
      </c>
      <c r="M1087" s="1"/>
      <c r="N1087" s="1" t="s">
        <v>234</v>
      </c>
      <c r="O1087" s="31">
        <v>4</v>
      </c>
      <c r="P1087" s="31">
        <v>1</v>
      </c>
      <c r="Q1087" s="32">
        <v>2016</v>
      </c>
    </row>
    <row r="1088" spans="1:17" x14ac:dyDescent="0.25">
      <c r="A1088" s="1" t="s">
        <v>376</v>
      </c>
      <c r="B1088" s="31">
        <v>43.7</v>
      </c>
      <c r="C1088" s="1" t="s">
        <v>20</v>
      </c>
      <c r="D1088" s="2">
        <v>42705</v>
      </c>
      <c r="E1088" s="2">
        <v>42705</v>
      </c>
      <c r="F1088" s="17">
        <v>780000</v>
      </c>
      <c r="G1088" s="17">
        <v>17848.97</v>
      </c>
      <c r="H1088" s="1"/>
      <c r="I1088" s="1" t="s">
        <v>21</v>
      </c>
      <c r="J1088" s="1" t="s">
        <v>22</v>
      </c>
      <c r="K1088" s="1" t="s">
        <v>360</v>
      </c>
      <c r="L1088" s="1" t="s">
        <v>359</v>
      </c>
      <c r="M1088" s="1"/>
      <c r="N1088" s="1"/>
      <c r="O1088" s="31">
        <v>2</v>
      </c>
      <c r="P1088" s="31">
        <v>1</v>
      </c>
      <c r="Q1088" s="32">
        <v>2011</v>
      </c>
    </row>
    <row r="1089" spans="1:17" x14ac:dyDescent="0.25">
      <c r="A1089" s="1" t="s">
        <v>362</v>
      </c>
      <c r="B1089" s="31">
        <v>44.3</v>
      </c>
      <c r="C1089" s="1" t="s">
        <v>20</v>
      </c>
      <c r="D1089" s="2">
        <v>42767</v>
      </c>
      <c r="E1089" s="2">
        <v>42767</v>
      </c>
      <c r="F1089" s="17">
        <v>800000</v>
      </c>
      <c r="G1089" s="17">
        <v>18058.689999999999</v>
      </c>
      <c r="H1089" s="1"/>
      <c r="I1089" s="1" t="s">
        <v>21</v>
      </c>
      <c r="J1089" s="1" t="s">
        <v>22</v>
      </c>
      <c r="K1089" s="1" t="s">
        <v>360</v>
      </c>
      <c r="L1089" s="1" t="s">
        <v>359</v>
      </c>
      <c r="M1089" s="1"/>
      <c r="N1089" s="1" t="s">
        <v>363</v>
      </c>
      <c r="O1089" s="31">
        <v>1</v>
      </c>
      <c r="P1089" s="31">
        <v>1</v>
      </c>
      <c r="Q1089" s="32">
        <v>2004</v>
      </c>
    </row>
    <row r="1090" spans="1:17" x14ac:dyDescent="0.25">
      <c r="A1090" s="1" t="s">
        <v>384</v>
      </c>
      <c r="B1090" s="31">
        <v>30.8</v>
      </c>
      <c r="C1090" s="1" t="s">
        <v>20</v>
      </c>
      <c r="D1090" s="2">
        <v>42767</v>
      </c>
      <c r="E1090" s="2">
        <v>42767</v>
      </c>
      <c r="F1090" s="17">
        <v>570000</v>
      </c>
      <c r="G1090" s="17">
        <v>18506.490000000002</v>
      </c>
      <c r="H1090" s="1"/>
      <c r="I1090" s="1" t="s">
        <v>21</v>
      </c>
      <c r="J1090" s="1" t="s">
        <v>22</v>
      </c>
      <c r="K1090" s="1" t="s">
        <v>360</v>
      </c>
      <c r="L1090" s="1" t="s">
        <v>359</v>
      </c>
      <c r="M1090" s="1"/>
      <c r="N1090" s="1" t="s">
        <v>128</v>
      </c>
      <c r="O1090" s="31">
        <v>4</v>
      </c>
      <c r="P1090" s="31">
        <v>2</v>
      </c>
      <c r="Q1090" s="32">
        <v>2008</v>
      </c>
    </row>
    <row r="1091" spans="1:17" x14ac:dyDescent="0.25">
      <c r="A1091" s="1" t="s">
        <v>384</v>
      </c>
      <c r="B1091" s="31">
        <v>30.8</v>
      </c>
      <c r="C1091" s="1" t="s">
        <v>20</v>
      </c>
      <c r="D1091" s="2">
        <v>42767</v>
      </c>
      <c r="E1091" s="2">
        <v>42767</v>
      </c>
      <c r="F1091" s="17">
        <v>570000</v>
      </c>
      <c r="G1091" s="17">
        <v>18506.490000000002</v>
      </c>
      <c r="H1091" s="1"/>
      <c r="I1091" s="1" t="s">
        <v>21</v>
      </c>
      <c r="J1091" s="1" t="s">
        <v>22</v>
      </c>
      <c r="K1091" s="1" t="s">
        <v>360</v>
      </c>
      <c r="L1091" s="1" t="s">
        <v>359</v>
      </c>
      <c r="M1091" s="1"/>
      <c r="N1091" s="1" t="s">
        <v>128</v>
      </c>
      <c r="O1091" s="31">
        <v>4</v>
      </c>
      <c r="P1091" s="31">
        <v>2</v>
      </c>
      <c r="Q1091" s="32">
        <v>2008</v>
      </c>
    </row>
    <row r="1092" spans="1:17" x14ac:dyDescent="0.25">
      <c r="A1092" s="1" t="s">
        <v>387</v>
      </c>
      <c r="B1092" s="31">
        <v>104.6</v>
      </c>
      <c r="C1092" s="1" t="s">
        <v>20</v>
      </c>
      <c r="D1092" s="2">
        <v>42644</v>
      </c>
      <c r="E1092" s="2">
        <v>42644</v>
      </c>
      <c r="F1092" s="17">
        <v>1955000</v>
      </c>
      <c r="G1092" s="17">
        <v>18690.25</v>
      </c>
      <c r="H1092" s="1"/>
      <c r="I1092" s="1" t="s">
        <v>21</v>
      </c>
      <c r="J1092" s="1" t="s">
        <v>22</v>
      </c>
      <c r="K1092" s="1" t="s">
        <v>360</v>
      </c>
      <c r="L1092" s="1" t="s">
        <v>359</v>
      </c>
      <c r="M1092" s="1"/>
      <c r="N1092" s="1" t="s">
        <v>388</v>
      </c>
      <c r="O1092" s="31">
        <v>1</v>
      </c>
      <c r="P1092" s="31">
        <v>2</v>
      </c>
      <c r="Q1092" s="32">
        <v>2013</v>
      </c>
    </row>
    <row r="1093" spans="1:17" x14ac:dyDescent="0.25">
      <c r="A1093" s="1" t="s">
        <v>387</v>
      </c>
      <c r="B1093" s="31">
        <v>104.6</v>
      </c>
      <c r="C1093" s="1" t="s">
        <v>20</v>
      </c>
      <c r="D1093" s="2">
        <v>42644</v>
      </c>
      <c r="E1093" s="2">
        <v>42644</v>
      </c>
      <c r="F1093" s="17">
        <v>1955000</v>
      </c>
      <c r="G1093" s="17">
        <v>18690.25</v>
      </c>
      <c r="H1093" s="1"/>
      <c r="I1093" s="1" t="s">
        <v>21</v>
      </c>
      <c r="J1093" s="1" t="s">
        <v>22</v>
      </c>
      <c r="K1093" s="1" t="s">
        <v>360</v>
      </c>
      <c r="L1093" s="1" t="s">
        <v>359</v>
      </c>
      <c r="M1093" s="1"/>
      <c r="N1093" s="1" t="s">
        <v>388</v>
      </c>
      <c r="O1093" s="31">
        <v>1</v>
      </c>
      <c r="P1093" s="31">
        <v>2</v>
      </c>
      <c r="Q1093" s="32">
        <v>2013</v>
      </c>
    </row>
    <row r="1094" spans="1:17" x14ac:dyDescent="0.25">
      <c r="A1094" s="1" t="s">
        <v>362</v>
      </c>
      <c r="B1094" s="31">
        <v>48</v>
      </c>
      <c r="C1094" s="1" t="s">
        <v>20</v>
      </c>
      <c r="D1094" s="2">
        <v>42767</v>
      </c>
      <c r="E1094" s="2">
        <v>42767</v>
      </c>
      <c r="F1094" s="17">
        <v>900000</v>
      </c>
      <c r="G1094" s="17">
        <v>18750</v>
      </c>
      <c r="H1094" s="1"/>
      <c r="I1094" s="1" t="s">
        <v>21</v>
      </c>
      <c r="J1094" s="1" t="s">
        <v>22</v>
      </c>
      <c r="K1094" s="1" t="s">
        <v>360</v>
      </c>
      <c r="L1094" s="1" t="s">
        <v>359</v>
      </c>
      <c r="M1094" s="1"/>
      <c r="N1094" s="1" t="s">
        <v>363</v>
      </c>
      <c r="O1094" s="31">
        <v>2</v>
      </c>
      <c r="P1094" s="31">
        <v>1</v>
      </c>
      <c r="Q1094" s="32">
        <v>2003</v>
      </c>
    </row>
    <row r="1095" spans="1:17" x14ac:dyDescent="0.25">
      <c r="A1095" s="1" t="s">
        <v>406</v>
      </c>
      <c r="B1095" s="31">
        <v>78.900000000000006</v>
      </c>
      <c r="C1095" s="1" t="s">
        <v>20</v>
      </c>
      <c r="D1095" s="2">
        <v>42705</v>
      </c>
      <c r="E1095" s="2">
        <v>42705</v>
      </c>
      <c r="F1095" s="17">
        <v>1500000</v>
      </c>
      <c r="G1095" s="17">
        <v>19011.41</v>
      </c>
      <c r="H1095" s="1"/>
      <c r="I1095" s="1" t="s">
        <v>21</v>
      </c>
      <c r="J1095" s="1" t="s">
        <v>22</v>
      </c>
      <c r="K1095" s="1" t="s">
        <v>360</v>
      </c>
      <c r="L1095" s="1" t="s">
        <v>359</v>
      </c>
      <c r="M1095" s="1"/>
      <c r="N1095" s="1" t="s">
        <v>329</v>
      </c>
      <c r="O1095" s="31">
        <v>9</v>
      </c>
      <c r="P1095" s="31">
        <v>1</v>
      </c>
      <c r="Q1095" s="32">
        <v>2010</v>
      </c>
    </row>
    <row r="1096" spans="1:17" x14ac:dyDescent="0.25">
      <c r="A1096" s="1" t="s">
        <v>362</v>
      </c>
      <c r="B1096" s="31">
        <v>57.4</v>
      </c>
      <c r="C1096" s="1" t="s">
        <v>20</v>
      </c>
      <c r="D1096" s="2">
        <v>42736</v>
      </c>
      <c r="E1096" s="2">
        <v>42736</v>
      </c>
      <c r="F1096" s="17">
        <v>1100000</v>
      </c>
      <c r="G1096" s="17">
        <v>19163.759999999998</v>
      </c>
      <c r="H1096" s="1"/>
      <c r="I1096" s="1" t="s">
        <v>21</v>
      </c>
      <c r="J1096" s="1" t="s">
        <v>22</v>
      </c>
      <c r="K1096" s="1" t="s">
        <v>360</v>
      </c>
      <c r="L1096" s="1" t="s">
        <v>359</v>
      </c>
      <c r="M1096" s="1"/>
      <c r="N1096" s="1" t="s">
        <v>128</v>
      </c>
      <c r="O1096" s="31">
        <v>3</v>
      </c>
      <c r="P1096" s="31">
        <v>1</v>
      </c>
      <c r="Q1096" s="32">
        <v>1999</v>
      </c>
    </row>
    <row r="1097" spans="1:17" x14ac:dyDescent="0.25">
      <c r="A1097" s="1" t="s">
        <v>375</v>
      </c>
      <c r="B1097" s="31">
        <v>62.3</v>
      </c>
      <c r="C1097" s="1" t="s">
        <v>20</v>
      </c>
      <c r="D1097" s="2">
        <v>42795</v>
      </c>
      <c r="E1097" s="2">
        <v>42795</v>
      </c>
      <c r="F1097" s="17">
        <v>1200000</v>
      </c>
      <c r="G1097" s="17">
        <v>19261.64</v>
      </c>
      <c r="H1097" s="1"/>
      <c r="I1097" s="1" t="s">
        <v>21</v>
      </c>
      <c r="J1097" s="1" t="s">
        <v>22</v>
      </c>
      <c r="K1097" s="1" t="s">
        <v>360</v>
      </c>
      <c r="L1097" s="1" t="s">
        <v>359</v>
      </c>
      <c r="M1097" s="1"/>
      <c r="N1097" s="1" t="s">
        <v>128</v>
      </c>
      <c r="O1097" s="31">
        <v>2</v>
      </c>
      <c r="P1097" s="31">
        <v>1</v>
      </c>
      <c r="Q1097" s="32">
        <v>2001</v>
      </c>
    </row>
    <row r="1098" spans="1:17" x14ac:dyDescent="0.25">
      <c r="A1098" s="1" t="s">
        <v>362</v>
      </c>
      <c r="B1098" s="31">
        <v>58.2</v>
      </c>
      <c r="C1098" s="1" t="s">
        <v>20</v>
      </c>
      <c r="D1098" s="2">
        <v>42795</v>
      </c>
      <c r="E1098" s="2">
        <v>42795</v>
      </c>
      <c r="F1098" s="17">
        <v>1130000</v>
      </c>
      <c r="G1098" s="17">
        <v>19415.810000000001</v>
      </c>
      <c r="H1098" s="1"/>
      <c r="I1098" s="1" t="s">
        <v>21</v>
      </c>
      <c r="J1098" s="1" t="s">
        <v>22</v>
      </c>
      <c r="K1098" s="1" t="s">
        <v>360</v>
      </c>
      <c r="L1098" s="1" t="s">
        <v>359</v>
      </c>
      <c r="M1098" s="1"/>
      <c r="N1098" s="1" t="s">
        <v>363</v>
      </c>
      <c r="O1098" s="31">
        <v>4</v>
      </c>
      <c r="P1098" s="31">
        <v>1</v>
      </c>
      <c r="Q1098" s="32">
        <v>2002</v>
      </c>
    </row>
    <row r="1099" spans="1:17" x14ac:dyDescent="0.25">
      <c r="A1099" s="1" t="s">
        <v>384</v>
      </c>
      <c r="B1099" s="31">
        <v>60</v>
      </c>
      <c r="C1099" s="1" t="s">
        <v>20</v>
      </c>
      <c r="D1099" s="2">
        <v>42644</v>
      </c>
      <c r="E1099" s="2">
        <v>42675</v>
      </c>
      <c r="F1099" s="17">
        <v>1170000</v>
      </c>
      <c r="G1099" s="17">
        <v>19500</v>
      </c>
      <c r="H1099" s="1"/>
      <c r="I1099" s="1" t="s">
        <v>21</v>
      </c>
      <c r="J1099" s="1" t="s">
        <v>22</v>
      </c>
      <c r="K1099" s="1" t="s">
        <v>360</v>
      </c>
      <c r="L1099" s="1" t="s">
        <v>359</v>
      </c>
      <c r="M1099" s="1"/>
      <c r="N1099" s="1" t="s">
        <v>336</v>
      </c>
      <c r="O1099" s="31">
        <v>1</v>
      </c>
      <c r="P1099" s="31">
        <v>2</v>
      </c>
      <c r="Q1099" s="32">
        <v>2002</v>
      </c>
    </row>
    <row r="1100" spans="1:17" x14ac:dyDescent="0.25">
      <c r="A1100" s="1" t="s">
        <v>384</v>
      </c>
      <c r="B1100" s="31">
        <v>60</v>
      </c>
      <c r="C1100" s="1" t="s">
        <v>20</v>
      </c>
      <c r="D1100" s="2">
        <v>42644</v>
      </c>
      <c r="E1100" s="2">
        <v>42675</v>
      </c>
      <c r="F1100" s="17">
        <v>1170000</v>
      </c>
      <c r="G1100" s="17">
        <v>19500</v>
      </c>
      <c r="H1100" s="1"/>
      <c r="I1100" s="1" t="s">
        <v>21</v>
      </c>
      <c r="J1100" s="1" t="s">
        <v>22</v>
      </c>
      <c r="K1100" s="1" t="s">
        <v>360</v>
      </c>
      <c r="L1100" s="1" t="s">
        <v>359</v>
      </c>
      <c r="M1100" s="1"/>
      <c r="N1100" s="1" t="s">
        <v>336</v>
      </c>
      <c r="O1100" s="31">
        <v>1</v>
      </c>
      <c r="P1100" s="31">
        <v>2</v>
      </c>
      <c r="Q1100" s="32">
        <v>2002</v>
      </c>
    </row>
    <row r="1101" spans="1:17" x14ac:dyDescent="0.25">
      <c r="A1101" s="1" t="s">
        <v>376</v>
      </c>
      <c r="B1101" s="31">
        <v>45.3</v>
      </c>
      <c r="C1101" s="1" t="s">
        <v>20</v>
      </c>
      <c r="D1101" s="2">
        <v>42675</v>
      </c>
      <c r="E1101" s="2">
        <v>42675</v>
      </c>
      <c r="F1101" s="17">
        <v>890000</v>
      </c>
      <c r="G1101" s="17">
        <v>19646.8</v>
      </c>
      <c r="H1101" s="1"/>
      <c r="I1101" s="1" t="s">
        <v>21</v>
      </c>
      <c r="J1101" s="1" t="s">
        <v>22</v>
      </c>
      <c r="K1101" s="1" t="s">
        <v>360</v>
      </c>
      <c r="L1101" s="1" t="s">
        <v>359</v>
      </c>
      <c r="M1101" s="1"/>
      <c r="N1101" s="1"/>
      <c r="O1101" s="31">
        <v>4</v>
      </c>
      <c r="P1101" s="31">
        <v>1</v>
      </c>
      <c r="Q1101" s="32">
        <v>2014</v>
      </c>
    </row>
    <row r="1102" spans="1:17" x14ac:dyDescent="0.25">
      <c r="A1102" s="1" t="s">
        <v>384</v>
      </c>
      <c r="B1102" s="31">
        <v>71</v>
      </c>
      <c r="C1102" s="1" t="s">
        <v>20</v>
      </c>
      <c r="D1102" s="2">
        <v>42644</v>
      </c>
      <c r="E1102" s="2">
        <v>42644</v>
      </c>
      <c r="F1102" s="17">
        <v>1400000</v>
      </c>
      <c r="G1102" s="17">
        <v>19718.310000000001</v>
      </c>
      <c r="H1102" s="1"/>
      <c r="I1102" s="1" t="s">
        <v>21</v>
      </c>
      <c r="J1102" s="1" t="s">
        <v>22</v>
      </c>
      <c r="K1102" s="1" t="s">
        <v>360</v>
      </c>
      <c r="L1102" s="1" t="s">
        <v>359</v>
      </c>
      <c r="M1102" s="1"/>
      <c r="N1102" s="1" t="s">
        <v>368</v>
      </c>
      <c r="O1102" s="31">
        <v>7</v>
      </c>
      <c r="P1102" s="31">
        <v>1</v>
      </c>
      <c r="Q1102" s="32">
        <v>2014</v>
      </c>
    </row>
    <row r="1103" spans="1:17" x14ac:dyDescent="0.25">
      <c r="A1103" s="1" t="s">
        <v>364</v>
      </c>
      <c r="B1103" s="31">
        <v>49.8</v>
      </c>
      <c r="C1103" s="1" t="s">
        <v>20</v>
      </c>
      <c r="D1103" s="2">
        <v>42675</v>
      </c>
      <c r="E1103" s="2">
        <v>42705</v>
      </c>
      <c r="F1103" s="17">
        <v>1000000</v>
      </c>
      <c r="G1103" s="17">
        <v>20080.32</v>
      </c>
      <c r="H1103" s="1"/>
      <c r="I1103" s="1" t="s">
        <v>21</v>
      </c>
      <c r="J1103" s="1" t="s">
        <v>22</v>
      </c>
      <c r="K1103" s="1" t="s">
        <v>360</v>
      </c>
      <c r="L1103" s="1" t="s">
        <v>359</v>
      </c>
      <c r="M1103" s="1"/>
      <c r="N1103" s="1"/>
      <c r="O1103" s="31">
        <v>5</v>
      </c>
      <c r="P1103" s="31">
        <v>1</v>
      </c>
      <c r="Q1103" s="32">
        <v>2004</v>
      </c>
    </row>
    <row r="1104" spans="1:17" x14ac:dyDescent="0.25">
      <c r="A1104" s="1" t="s">
        <v>364</v>
      </c>
      <c r="B1104" s="31">
        <v>39.700000000000003</v>
      </c>
      <c r="C1104" s="1" t="s">
        <v>20</v>
      </c>
      <c r="D1104" s="2">
        <v>42644</v>
      </c>
      <c r="E1104" s="2">
        <v>42644</v>
      </c>
      <c r="F1104" s="17">
        <v>800000</v>
      </c>
      <c r="G1104" s="17">
        <v>20151.13</v>
      </c>
      <c r="H1104" s="1"/>
      <c r="I1104" s="1" t="s">
        <v>21</v>
      </c>
      <c r="J1104" s="1" t="s">
        <v>22</v>
      </c>
      <c r="K1104" s="1" t="s">
        <v>360</v>
      </c>
      <c r="L1104" s="1" t="s">
        <v>359</v>
      </c>
      <c r="M1104" s="1"/>
      <c r="N1104" s="1"/>
      <c r="O1104" s="31">
        <v>9</v>
      </c>
      <c r="P1104" s="31">
        <v>1</v>
      </c>
      <c r="Q1104" s="32">
        <v>2015</v>
      </c>
    </row>
    <row r="1105" spans="1:17" x14ac:dyDescent="0.25">
      <c r="A1105" s="1" t="s">
        <v>362</v>
      </c>
      <c r="B1105" s="31">
        <v>48.6</v>
      </c>
      <c r="C1105" s="1" t="s">
        <v>20</v>
      </c>
      <c r="D1105" s="2">
        <v>42644</v>
      </c>
      <c r="E1105" s="2">
        <v>42644</v>
      </c>
      <c r="F1105" s="17">
        <v>1000000</v>
      </c>
      <c r="G1105" s="17">
        <v>20576.13</v>
      </c>
      <c r="H1105" s="1"/>
      <c r="I1105" s="1" t="s">
        <v>21</v>
      </c>
      <c r="J1105" s="1" t="s">
        <v>22</v>
      </c>
      <c r="K1105" s="1" t="s">
        <v>360</v>
      </c>
      <c r="L1105" s="1" t="s">
        <v>359</v>
      </c>
      <c r="M1105" s="1"/>
      <c r="N1105" s="1" t="s">
        <v>363</v>
      </c>
      <c r="O1105" s="31">
        <v>4</v>
      </c>
      <c r="P1105" s="31">
        <v>1</v>
      </c>
      <c r="Q1105" s="32">
        <v>2005</v>
      </c>
    </row>
    <row r="1106" spans="1:17" x14ac:dyDescent="0.25">
      <c r="A1106" s="1" t="s">
        <v>362</v>
      </c>
      <c r="B1106" s="31">
        <v>41.1</v>
      </c>
      <c r="C1106" s="1" t="s">
        <v>20</v>
      </c>
      <c r="D1106" s="2">
        <v>42705</v>
      </c>
      <c r="E1106" s="2">
        <v>42705</v>
      </c>
      <c r="F1106" s="17">
        <v>850000</v>
      </c>
      <c r="G1106" s="17">
        <v>20681.27</v>
      </c>
      <c r="H1106" s="1"/>
      <c r="I1106" s="1" t="s">
        <v>21</v>
      </c>
      <c r="J1106" s="1" t="s">
        <v>22</v>
      </c>
      <c r="K1106" s="1" t="s">
        <v>360</v>
      </c>
      <c r="L1106" s="1" t="s">
        <v>359</v>
      </c>
      <c r="M1106" s="1"/>
      <c r="N1106" s="1" t="s">
        <v>368</v>
      </c>
      <c r="O1106" s="31">
        <v>4</v>
      </c>
      <c r="P1106" s="31">
        <v>1</v>
      </c>
      <c r="Q1106" s="32">
        <v>2013</v>
      </c>
    </row>
    <row r="1107" spans="1:17" x14ac:dyDescent="0.25">
      <c r="A1107" s="1" t="s">
        <v>389</v>
      </c>
      <c r="B1107" s="31">
        <v>58</v>
      </c>
      <c r="C1107" s="1" t="s">
        <v>20</v>
      </c>
      <c r="D1107" s="2">
        <v>42767</v>
      </c>
      <c r="E1107" s="2">
        <v>42767</v>
      </c>
      <c r="F1107" s="17">
        <v>1200000</v>
      </c>
      <c r="G1107" s="17">
        <v>20689.66</v>
      </c>
      <c r="H1107" s="1"/>
      <c r="I1107" s="1" t="s">
        <v>21</v>
      </c>
      <c r="J1107" s="1" t="s">
        <v>22</v>
      </c>
      <c r="K1107" s="1" t="s">
        <v>360</v>
      </c>
      <c r="L1107" s="1" t="s">
        <v>359</v>
      </c>
      <c r="M1107" s="1"/>
      <c r="N1107" s="1" t="s">
        <v>390</v>
      </c>
      <c r="O1107" s="31">
        <v>1</v>
      </c>
      <c r="P1107" s="31">
        <v>1</v>
      </c>
      <c r="Q1107" s="32">
        <v>2015</v>
      </c>
    </row>
    <row r="1108" spans="1:17" x14ac:dyDescent="0.25">
      <c r="A1108" s="1" t="s">
        <v>401</v>
      </c>
      <c r="B1108" s="31">
        <v>65.5</v>
      </c>
      <c r="C1108" s="1" t="s">
        <v>20</v>
      </c>
      <c r="D1108" s="2">
        <v>42675</v>
      </c>
      <c r="E1108" s="2">
        <v>42675</v>
      </c>
      <c r="F1108" s="17">
        <v>1393000</v>
      </c>
      <c r="G1108" s="17">
        <v>21267.18</v>
      </c>
      <c r="H1108" s="1"/>
      <c r="I1108" s="1" t="s">
        <v>21</v>
      </c>
      <c r="J1108" s="1" t="s">
        <v>22</v>
      </c>
      <c r="K1108" s="1" t="s">
        <v>360</v>
      </c>
      <c r="L1108" s="1" t="s">
        <v>359</v>
      </c>
      <c r="M1108" s="1"/>
      <c r="N1108" s="1"/>
      <c r="O1108" s="31">
        <v>2</v>
      </c>
      <c r="P1108" s="31">
        <v>2</v>
      </c>
      <c r="Q1108" s="32">
        <v>2016</v>
      </c>
    </row>
    <row r="1109" spans="1:17" x14ac:dyDescent="0.25">
      <c r="A1109" s="1" t="s">
        <v>401</v>
      </c>
      <c r="B1109" s="31">
        <v>65.5</v>
      </c>
      <c r="C1109" s="1" t="s">
        <v>20</v>
      </c>
      <c r="D1109" s="2">
        <v>42675</v>
      </c>
      <c r="E1109" s="2">
        <v>42675</v>
      </c>
      <c r="F1109" s="17">
        <v>1393000</v>
      </c>
      <c r="G1109" s="17">
        <v>21267.18</v>
      </c>
      <c r="H1109" s="1"/>
      <c r="I1109" s="1" t="s">
        <v>21</v>
      </c>
      <c r="J1109" s="1" t="s">
        <v>22</v>
      </c>
      <c r="K1109" s="1" t="s">
        <v>360</v>
      </c>
      <c r="L1109" s="1" t="s">
        <v>359</v>
      </c>
      <c r="M1109" s="1"/>
      <c r="N1109" s="1"/>
      <c r="O1109" s="31">
        <v>2</v>
      </c>
      <c r="P1109" s="31">
        <v>2</v>
      </c>
      <c r="Q1109" s="32">
        <v>2016</v>
      </c>
    </row>
    <row r="1110" spans="1:17" x14ac:dyDescent="0.25">
      <c r="A1110" s="1" t="s">
        <v>381</v>
      </c>
      <c r="B1110" s="31">
        <v>36.1</v>
      </c>
      <c r="C1110" s="1" t="s">
        <v>20</v>
      </c>
      <c r="D1110" s="2">
        <v>42736</v>
      </c>
      <c r="E1110" s="2">
        <v>42736</v>
      </c>
      <c r="F1110" s="17">
        <v>769000</v>
      </c>
      <c r="G1110" s="17">
        <v>21301.94</v>
      </c>
      <c r="H1110" s="1"/>
      <c r="I1110" s="1" t="s">
        <v>21</v>
      </c>
      <c r="J1110" s="1" t="s">
        <v>22</v>
      </c>
      <c r="K1110" s="1" t="s">
        <v>360</v>
      </c>
      <c r="L1110" s="1" t="s">
        <v>359</v>
      </c>
      <c r="M1110" s="1"/>
      <c r="N1110" s="1" t="s">
        <v>363</v>
      </c>
      <c r="O1110" s="31">
        <v>1</v>
      </c>
      <c r="P1110" s="31">
        <v>1</v>
      </c>
      <c r="Q1110" s="32">
        <v>2013</v>
      </c>
    </row>
    <row r="1111" spans="1:17" x14ac:dyDescent="0.25">
      <c r="A1111" s="1" t="s">
        <v>369</v>
      </c>
      <c r="B1111" s="31">
        <v>40.9</v>
      </c>
      <c r="C1111" s="1" t="s">
        <v>20</v>
      </c>
      <c r="D1111" s="2">
        <v>42675</v>
      </c>
      <c r="E1111" s="2">
        <v>42675</v>
      </c>
      <c r="F1111" s="17">
        <v>905000</v>
      </c>
      <c r="G1111" s="17">
        <v>22127.14</v>
      </c>
      <c r="H1111" s="1"/>
      <c r="I1111" s="1" t="s">
        <v>21</v>
      </c>
      <c r="J1111" s="1" t="s">
        <v>22</v>
      </c>
      <c r="K1111" s="1" t="s">
        <v>360</v>
      </c>
      <c r="L1111" s="1" t="s">
        <v>359</v>
      </c>
      <c r="M1111" s="1"/>
      <c r="N1111" s="1" t="s">
        <v>370</v>
      </c>
      <c r="O1111" s="31">
        <v>8</v>
      </c>
      <c r="P1111" s="31">
        <v>2</v>
      </c>
      <c r="Q1111" s="32">
        <v>2013</v>
      </c>
    </row>
    <row r="1112" spans="1:17" x14ac:dyDescent="0.25">
      <c r="A1112" s="1" t="s">
        <v>369</v>
      </c>
      <c r="B1112" s="31">
        <v>40.9</v>
      </c>
      <c r="C1112" s="1" t="s">
        <v>20</v>
      </c>
      <c r="D1112" s="2">
        <v>42675</v>
      </c>
      <c r="E1112" s="2">
        <v>42675</v>
      </c>
      <c r="F1112" s="17">
        <v>905000</v>
      </c>
      <c r="G1112" s="17">
        <v>22127.14</v>
      </c>
      <c r="H1112" s="1"/>
      <c r="I1112" s="1" t="s">
        <v>21</v>
      </c>
      <c r="J1112" s="1" t="s">
        <v>22</v>
      </c>
      <c r="K1112" s="1" t="s">
        <v>360</v>
      </c>
      <c r="L1112" s="1" t="s">
        <v>359</v>
      </c>
      <c r="M1112" s="1"/>
      <c r="N1112" s="1" t="s">
        <v>370</v>
      </c>
      <c r="O1112" s="31">
        <v>8</v>
      </c>
      <c r="P1112" s="31">
        <v>2</v>
      </c>
      <c r="Q1112" s="32">
        <v>2013</v>
      </c>
    </row>
    <row r="1113" spans="1:17" x14ac:dyDescent="0.25">
      <c r="A1113" s="1" t="s">
        <v>376</v>
      </c>
      <c r="B1113" s="31">
        <v>51.7</v>
      </c>
      <c r="C1113" s="1" t="s">
        <v>20</v>
      </c>
      <c r="D1113" s="2">
        <v>42767</v>
      </c>
      <c r="E1113" s="2">
        <v>42767</v>
      </c>
      <c r="F1113" s="17">
        <v>1160000</v>
      </c>
      <c r="G1113" s="17">
        <v>22437.14</v>
      </c>
      <c r="H1113" s="1"/>
      <c r="I1113" s="1" t="s">
        <v>21</v>
      </c>
      <c r="J1113" s="1" t="s">
        <v>22</v>
      </c>
      <c r="K1113" s="1" t="s">
        <v>360</v>
      </c>
      <c r="L1113" s="1" t="s">
        <v>359</v>
      </c>
      <c r="M1113" s="1"/>
      <c r="N1113" s="1"/>
      <c r="O1113" s="31">
        <v>3</v>
      </c>
      <c r="P1113" s="31">
        <v>1</v>
      </c>
      <c r="Q1113" s="32">
        <v>2001</v>
      </c>
    </row>
    <row r="1114" spans="1:17" x14ac:dyDescent="0.25">
      <c r="A1114" s="1" t="s">
        <v>369</v>
      </c>
      <c r="B1114" s="31">
        <v>55.7</v>
      </c>
      <c r="C1114" s="1" t="s">
        <v>20</v>
      </c>
      <c r="D1114" s="2">
        <v>42795</v>
      </c>
      <c r="E1114" s="2">
        <v>42795</v>
      </c>
      <c r="F1114" s="17">
        <v>1250000</v>
      </c>
      <c r="G1114" s="17">
        <v>22441.65</v>
      </c>
      <c r="H1114" s="1"/>
      <c r="I1114" s="1" t="s">
        <v>21</v>
      </c>
      <c r="J1114" s="1" t="s">
        <v>22</v>
      </c>
      <c r="K1114" s="1" t="s">
        <v>360</v>
      </c>
      <c r="L1114" s="1" t="s">
        <v>359</v>
      </c>
      <c r="M1114" s="1"/>
      <c r="N1114" s="1" t="s">
        <v>370</v>
      </c>
      <c r="O1114" s="31">
        <v>5</v>
      </c>
      <c r="P1114" s="31">
        <v>1</v>
      </c>
      <c r="Q1114" s="32">
        <v>2013</v>
      </c>
    </row>
    <row r="1115" spans="1:17" x14ac:dyDescent="0.25">
      <c r="A1115" s="1" t="s">
        <v>391</v>
      </c>
      <c r="B1115" s="31">
        <v>33.299999999999997</v>
      </c>
      <c r="C1115" s="1" t="s">
        <v>20</v>
      </c>
      <c r="D1115" s="2">
        <v>42767</v>
      </c>
      <c r="E1115" s="2">
        <v>42767</v>
      </c>
      <c r="F1115" s="17">
        <v>750000</v>
      </c>
      <c r="G1115" s="17">
        <v>22522.52</v>
      </c>
      <c r="H1115" s="1"/>
      <c r="I1115" s="1" t="s">
        <v>21</v>
      </c>
      <c r="J1115" s="1" t="s">
        <v>22</v>
      </c>
      <c r="K1115" s="1" t="s">
        <v>360</v>
      </c>
      <c r="L1115" s="1" t="s">
        <v>359</v>
      </c>
      <c r="M1115" s="1"/>
      <c r="N1115" s="1" t="s">
        <v>336</v>
      </c>
      <c r="O1115" s="31">
        <v>5</v>
      </c>
      <c r="P1115" s="31">
        <v>1</v>
      </c>
      <c r="Q1115" s="32">
        <v>2004</v>
      </c>
    </row>
    <row r="1116" spans="1:17" x14ac:dyDescent="0.25">
      <c r="A1116" s="1" t="s">
        <v>364</v>
      </c>
      <c r="B1116" s="31">
        <v>61.3</v>
      </c>
      <c r="C1116" s="1" t="s">
        <v>20</v>
      </c>
      <c r="D1116" s="2">
        <v>42675</v>
      </c>
      <c r="E1116" s="2">
        <v>42675</v>
      </c>
      <c r="F1116" s="17">
        <v>1400000</v>
      </c>
      <c r="G1116" s="17">
        <v>22838.5</v>
      </c>
      <c r="H1116" s="1"/>
      <c r="I1116" s="1" t="s">
        <v>21</v>
      </c>
      <c r="J1116" s="1" t="s">
        <v>22</v>
      </c>
      <c r="K1116" s="1" t="s">
        <v>360</v>
      </c>
      <c r="L1116" s="1" t="s">
        <v>359</v>
      </c>
      <c r="M1116" s="1"/>
      <c r="N1116" s="1"/>
      <c r="O1116" s="31">
        <v>4</v>
      </c>
      <c r="P1116" s="31">
        <v>1</v>
      </c>
      <c r="Q1116" s="32">
        <v>2007</v>
      </c>
    </row>
    <row r="1117" spans="1:17" x14ac:dyDescent="0.25">
      <c r="A1117" s="1" t="s">
        <v>362</v>
      </c>
      <c r="B1117" s="31">
        <v>30.4</v>
      </c>
      <c r="C1117" s="1" t="s">
        <v>20</v>
      </c>
      <c r="D1117" s="2">
        <v>42736</v>
      </c>
      <c r="E1117" s="2">
        <v>42736</v>
      </c>
      <c r="F1117" s="17">
        <v>700000</v>
      </c>
      <c r="G1117" s="17">
        <v>23026.32</v>
      </c>
      <c r="H1117" s="1"/>
      <c r="I1117" s="1" t="s">
        <v>21</v>
      </c>
      <c r="J1117" s="1" t="s">
        <v>22</v>
      </c>
      <c r="K1117" s="1" t="s">
        <v>360</v>
      </c>
      <c r="L1117" s="1" t="s">
        <v>359</v>
      </c>
      <c r="M1117" s="1"/>
      <c r="N1117" s="1" t="s">
        <v>363</v>
      </c>
      <c r="O1117" s="31">
        <v>2</v>
      </c>
      <c r="P1117" s="31">
        <v>1</v>
      </c>
      <c r="Q1117" s="32">
        <v>2006</v>
      </c>
    </row>
    <row r="1118" spans="1:17" x14ac:dyDescent="0.25">
      <c r="A1118" s="1" t="s">
        <v>414</v>
      </c>
      <c r="B1118" s="31">
        <v>46.3</v>
      </c>
      <c r="C1118" s="1" t="s">
        <v>20</v>
      </c>
      <c r="D1118" s="2">
        <v>42795</v>
      </c>
      <c r="E1118" s="2">
        <v>42795</v>
      </c>
      <c r="F1118" s="17">
        <v>1100000</v>
      </c>
      <c r="G1118" s="17">
        <v>23758.1</v>
      </c>
      <c r="H1118" s="1"/>
      <c r="I1118" s="1" t="s">
        <v>21</v>
      </c>
      <c r="J1118" s="1" t="s">
        <v>22</v>
      </c>
      <c r="K1118" s="1" t="s">
        <v>360</v>
      </c>
      <c r="L1118" s="1" t="s">
        <v>359</v>
      </c>
      <c r="M1118" s="1"/>
      <c r="N1118" s="1" t="s">
        <v>81</v>
      </c>
      <c r="O1118" s="31">
        <v>3</v>
      </c>
      <c r="P1118" s="31">
        <v>1</v>
      </c>
      <c r="Q1118" s="32">
        <v>2002</v>
      </c>
    </row>
    <row r="1119" spans="1:17" x14ac:dyDescent="0.25">
      <c r="A1119" s="1" t="s">
        <v>376</v>
      </c>
      <c r="B1119" s="31">
        <v>61.8</v>
      </c>
      <c r="C1119" s="1" t="s">
        <v>20</v>
      </c>
      <c r="D1119" s="2">
        <v>42767</v>
      </c>
      <c r="E1119" s="2">
        <v>42767</v>
      </c>
      <c r="F1119" s="17">
        <v>1500000</v>
      </c>
      <c r="G1119" s="17">
        <v>24271.84</v>
      </c>
      <c r="H1119" s="1"/>
      <c r="I1119" s="1" t="s">
        <v>21</v>
      </c>
      <c r="J1119" s="1" t="s">
        <v>22</v>
      </c>
      <c r="K1119" s="1" t="s">
        <v>360</v>
      </c>
      <c r="L1119" s="1" t="s">
        <v>359</v>
      </c>
      <c r="M1119" s="1"/>
      <c r="N1119" s="1" t="s">
        <v>363</v>
      </c>
      <c r="O1119" s="31">
        <v>2</v>
      </c>
      <c r="P1119" s="31">
        <v>2</v>
      </c>
      <c r="Q1119" s="32">
        <v>2014</v>
      </c>
    </row>
    <row r="1120" spans="1:17" x14ac:dyDescent="0.25">
      <c r="A1120" s="1" t="s">
        <v>376</v>
      </c>
      <c r="B1120" s="31">
        <v>61.8</v>
      </c>
      <c r="C1120" s="1" t="s">
        <v>20</v>
      </c>
      <c r="D1120" s="2">
        <v>42767</v>
      </c>
      <c r="E1120" s="2">
        <v>42767</v>
      </c>
      <c r="F1120" s="17">
        <v>1500000</v>
      </c>
      <c r="G1120" s="17">
        <v>24271.84</v>
      </c>
      <c r="H1120" s="1"/>
      <c r="I1120" s="1" t="s">
        <v>21</v>
      </c>
      <c r="J1120" s="1" t="s">
        <v>22</v>
      </c>
      <c r="K1120" s="1" t="s">
        <v>360</v>
      </c>
      <c r="L1120" s="1" t="s">
        <v>359</v>
      </c>
      <c r="M1120" s="1"/>
      <c r="N1120" s="1" t="s">
        <v>363</v>
      </c>
      <c r="O1120" s="31">
        <v>2</v>
      </c>
      <c r="P1120" s="31">
        <v>2</v>
      </c>
      <c r="Q1120" s="32">
        <v>2014</v>
      </c>
    </row>
    <row r="1121" spans="1:17" x14ac:dyDescent="0.25">
      <c r="A1121" s="1" t="s">
        <v>376</v>
      </c>
      <c r="B1121" s="31">
        <v>40.9</v>
      </c>
      <c r="C1121" s="1" t="s">
        <v>20</v>
      </c>
      <c r="D1121" s="2">
        <v>42675</v>
      </c>
      <c r="E1121" s="2">
        <v>42675</v>
      </c>
      <c r="F1121" s="17">
        <v>1000000</v>
      </c>
      <c r="G1121" s="17">
        <v>24449.88</v>
      </c>
      <c r="H1121" s="1"/>
      <c r="I1121" s="1" t="s">
        <v>21</v>
      </c>
      <c r="J1121" s="1" t="s">
        <v>22</v>
      </c>
      <c r="K1121" s="1" t="s">
        <v>360</v>
      </c>
      <c r="L1121" s="1" t="s">
        <v>359</v>
      </c>
      <c r="M1121" s="1"/>
      <c r="N1121" s="1"/>
      <c r="O1121" s="31">
        <v>1</v>
      </c>
      <c r="P1121" s="31">
        <v>1</v>
      </c>
      <c r="Q1121" s="32">
        <v>2007</v>
      </c>
    </row>
    <row r="1122" spans="1:17" x14ac:dyDescent="0.25">
      <c r="A1122" s="1" t="s">
        <v>367</v>
      </c>
      <c r="B1122" s="31">
        <v>30.4</v>
      </c>
      <c r="C1122" s="1" t="s">
        <v>20</v>
      </c>
      <c r="D1122" s="2">
        <v>42644</v>
      </c>
      <c r="E1122" s="2">
        <v>42644</v>
      </c>
      <c r="F1122" s="17">
        <v>753000</v>
      </c>
      <c r="G1122" s="17">
        <v>24769.74</v>
      </c>
      <c r="H1122" s="1"/>
      <c r="I1122" s="1" t="s">
        <v>21</v>
      </c>
      <c r="J1122" s="1" t="s">
        <v>22</v>
      </c>
      <c r="K1122" s="1" t="s">
        <v>360</v>
      </c>
      <c r="L1122" s="1" t="s">
        <v>359</v>
      </c>
      <c r="M1122" s="1"/>
      <c r="N1122" s="1" t="s">
        <v>336</v>
      </c>
      <c r="O1122" s="31">
        <v>6</v>
      </c>
      <c r="P1122" s="31">
        <v>2</v>
      </c>
      <c r="Q1122" s="32">
        <v>2016</v>
      </c>
    </row>
    <row r="1123" spans="1:17" x14ac:dyDescent="0.25">
      <c r="A1123" s="1" t="s">
        <v>367</v>
      </c>
      <c r="B1123" s="31">
        <v>30.4</v>
      </c>
      <c r="C1123" s="1" t="s">
        <v>20</v>
      </c>
      <c r="D1123" s="2">
        <v>42644</v>
      </c>
      <c r="E1123" s="2">
        <v>42644</v>
      </c>
      <c r="F1123" s="17">
        <v>753000</v>
      </c>
      <c r="G1123" s="17">
        <v>24769.74</v>
      </c>
      <c r="H1123" s="1"/>
      <c r="I1123" s="1" t="s">
        <v>21</v>
      </c>
      <c r="J1123" s="1" t="s">
        <v>22</v>
      </c>
      <c r="K1123" s="1" t="s">
        <v>360</v>
      </c>
      <c r="L1123" s="1" t="s">
        <v>359</v>
      </c>
      <c r="M1123" s="1"/>
      <c r="N1123" s="1" t="s">
        <v>336</v>
      </c>
      <c r="O1123" s="31">
        <v>6</v>
      </c>
      <c r="P1123" s="31">
        <v>2</v>
      </c>
      <c r="Q1123" s="32">
        <v>2016</v>
      </c>
    </row>
    <row r="1124" spans="1:17" x14ac:dyDescent="0.25">
      <c r="A1124" s="1" t="s">
        <v>394</v>
      </c>
      <c r="B1124" s="31">
        <v>56.5</v>
      </c>
      <c r="C1124" s="1" t="s">
        <v>20</v>
      </c>
      <c r="D1124" s="2">
        <v>42675</v>
      </c>
      <c r="E1124" s="2">
        <v>42675</v>
      </c>
      <c r="F1124" s="17">
        <v>1400000</v>
      </c>
      <c r="G1124" s="17">
        <v>24778.76</v>
      </c>
      <c r="H1124" s="1"/>
      <c r="I1124" s="1" t="s">
        <v>21</v>
      </c>
      <c r="J1124" s="1" t="s">
        <v>22</v>
      </c>
      <c r="K1124" s="1" t="s">
        <v>360</v>
      </c>
      <c r="L1124" s="1" t="s">
        <v>359</v>
      </c>
      <c r="M1124" s="1"/>
      <c r="N1124" s="1" t="s">
        <v>361</v>
      </c>
      <c r="O1124" s="31">
        <v>3</v>
      </c>
      <c r="P1124" s="31">
        <v>1</v>
      </c>
      <c r="Q1124" s="32">
        <v>2014</v>
      </c>
    </row>
    <row r="1125" spans="1:17" x14ac:dyDescent="0.25">
      <c r="A1125" s="1" t="s">
        <v>364</v>
      </c>
      <c r="B1125" s="31">
        <v>53.7</v>
      </c>
      <c r="C1125" s="1" t="s">
        <v>20</v>
      </c>
      <c r="D1125" s="2">
        <v>42644</v>
      </c>
      <c r="E1125" s="2">
        <v>42644</v>
      </c>
      <c r="F1125" s="17">
        <v>1350000</v>
      </c>
      <c r="G1125" s="17">
        <v>25139.66</v>
      </c>
      <c r="H1125" s="1"/>
      <c r="I1125" s="1" t="s">
        <v>21</v>
      </c>
      <c r="J1125" s="1" t="s">
        <v>22</v>
      </c>
      <c r="K1125" s="1" t="s">
        <v>360</v>
      </c>
      <c r="L1125" s="1" t="s">
        <v>359</v>
      </c>
      <c r="M1125" s="1"/>
      <c r="N1125" s="1"/>
      <c r="O1125" s="31">
        <v>2</v>
      </c>
      <c r="P1125" s="31">
        <v>1</v>
      </c>
      <c r="Q1125" s="32">
        <v>2015</v>
      </c>
    </row>
    <row r="1126" spans="1:17" x14ac:dyDescent="0.25">
      <c r="A1126" s="1" t="s">
        <v>391</v>
      </c>
      <c r="B1126" s="31">
        <v>47.7</v>
      </c>
      <c r="C1126" s="1" t="s">
        <v>20</v>
      </c>
      <c r="D1126" s="2">
        <v>42705</v>
      </c>
      <c r="E1126" s="2">
        <v>42705</v>
      </c>
      <c r="F1126" s="17">
        <v>1200000</v>
      </c>
      <c r="G1126" s="17">
        <v>25157.23</v>
      </c>
      <c r="H1126" s="1"/>
      <c r="I1126" s="1" t="s">
        <v>21</v>
      </c>
      <c r="J1126" s="1" t="s">
        <v>22</v>
      </c>
      <c r="K1126" s="1" t="s">
        <v>360</v>
      </c>
      <c r="L1126" s="1" t="s">
        <v>359</v>
      </c>
      <c r="M1126" s="1"/>
      <c r="N1126" s="1" t="s">
        <v>234</v>
      </c>
      <c r="O1126" s="31">
        <v>5</v>
      </c>
      <c r="P1126" s="31">
        <v>2</v>
      </c>
      <c r="Q1126" s="32">
        <v>2005</v>
      </c>
    </row>
    <row r="1127" spans="1:17" x14ac:dyDescent="0.25">
      <c r="A1127" s="1" t="s">
        <v>391</v>
      </c>
      <c r="B1127" s="31">
        <v>47.7</v>
      </c>
      <c r="C1127" s="1" t="s">
        <v>20</v>
      </c>
      <c r="D1127" s="2">
        <v>42705</v>
      </c>
      <c r="E1127" s="2">
        <v>42705</v>
      </c>
      <c r="F1127" s="17">
        <v>1200000</v>
      </c>
      <c r="G1127" s="17">
        <v>25157.23</v>
      </c>
      <c r="H1127" s="1"/>
      <c r="I1127" s="1" t="s">
        <v>21</v>
      </c>
      <c r="J1127" s="1" t="s">
        <v>22</v>
      </c>
      <c r="K1127" s="1" t="s">
        <v>360</v>
      </c>
      <c r="L1127" s="1" t="s">
        <v>359</v>
      </c>
      <c r="M1127" s="1"/>
      <c r="N1127" s="1" t="s">
        <v>234</v>
      </c>
      <c r="O1127" s="31">
        <v>5</v>
      </c>
      <c r="P1127" s="31">
        <v>2</v>
      </c>
      <c r="Q1127" s="32">
        <v>2005</v>
      </c>
    </row>
    <row r="1128" spans="1:17" x14ac:dyDescent="0.25">
      <c r="A1128" s="1" t="s">
        <v>384</v>
      </c>
      <c r="B1128" s="31">
        <v>40.799999999999997</v>
      </c>
      <c r="C1128" s="1" t="s">
        <v>20</v>
      </c>
      <c r="D1128" s="2">
        <v>42767</v>
      </c>
      <c r="E1128" s="2">
        <v>42767</v>
      </c>
      <c r="F1128" s="17">
        <v>1028000</v>
      </c>
      <c r="G1128" s="17">
        <v>25196.080000000002</v>
      </c>
      <c r="H1128" s="1"/>
      <c r="I1128" s="1" t="s">
        <v>21</v>
      </c>
      <c r="J1128" s="1" t="s">
        <v>22</v>
      </c>
      <c r="K1128" s="1" t="s">
        <v>360</v>
      </c>
      <c r="L1128" s="1" t="s">
        <v>359</v>
      </c>
      <c r="M1128" s="1"/>
      <c r="N1128" s="1" t="s">
        <v>336</v>
      </c>
      <c r="O1128" s="31">
        <v>2</v>
      </c>
      <c r="P1128" s="31">
        <v>2</v>
      </c>
      <c r="Q1128" s="32">
        <v>2015</v>
      </c>
    </row>
    <row r="1129" spans="1:17" x14ac:dyDescent="0.25">
      <c r="A1129" s="1" t="s">
        <v>384</v>
      </c>
      <c r="B1129" s="31">
        <v>40.799999999999997</v>
      </c>
      <c r="C1129" s="1" t="s">
        <v>20</v>
      </c>
      <c r="D1129" s="2">
        <v>42767</v>
      </c>
      <c r="E1129" s="2">
        <v>42767</v>
      </c>
      <c r="F1129" s="17">
        <v>1028000</v>
      </c>
      <c r="G1129" s="17">
        <v>25196.080000000002</v>
      </c>
      <c r="H1129" s="1"/>
      <c r="I1129" s="1" t="s">
        <v>21</v>
      </c>
      <c r="J1129" s="1" t="s">
        <v>22</v>
      </c>
      <c r="K1129" s="1" t="s">
        <v>360</v>
      </c>
      <c r="L1129" s="1" t="s">
        <v>359</v>
      </c>
      <c r="M1129" s="1"/>
      <c r="N1129" s="1" t="s">
        <v>336</v>
      </c>
      <c r="O1129" s="31">
        <v>2</v>
      </c>
      <c r="P1129" s="31">
        <v>2</v>
      </c>
      <c r="Q1129" s="32">
        <v>2015</v>
      </c>
    </row>
    <row r="1130" spans="1:17" x14ac:dyDescent="0.25">
      <c r="A1130" s="1" t="s">
        <v>384</v>
      </c>
      <c r="B1130" s="31">
        <v>61.2</v>
      </c>
      <c r="C1130" s="1" t="s">
        <v>20</v>
      </c>
      <c r="D1130" s="2">
        <v>42644</v>
      </c>
      <c r="E1130" s="2">
        <v>42644</v>
      </c>
      <c r="F1130" s="17">
        <v>1550000</v>
      </c>
      <c r="G1130" s="17">
        <v>25326.799999999999</v>
      </c>
      <c r="H1130" s="1"/>
      <c r="I1130" s="1" t="s">
        <v>21</v>
      </c>
      <c r="J1130" s="1" t="s">
        <v>22</v>
      </c>
      <c r="K1130" s="1" t="s">
        <v>360</v>
      </c>
      <c r="L1130" s="1" t="s">
        <v>359</v>
      </c>
      <c r="M1130" s="1"/>
      <c r="N1130" s="1" t="s">
        <v>336</v>
      </c>
      <c r="O1130" s="31">
        <v>2</v>
      </c>
      <c r="P1130" s="31">
        <v>1</v>
      </c>
      <c r="Q1130" s="32">
        <v>2006</v>
      </c>
    </row>
    <row r="1131" spans="1:17" x14ac:dyDescent="0.25">
      <c r="A1131" s="1" t="s">
        <v>381</v>
      </c>
      <c r="B1131" s="31">
        <v>32.6</v>
      </c>
      <c r="C1131" s="1" t="s">
        <v>20</v>
      </c>
      <c r="D1131" s="2">
        <v>42767</v>
      </c>
      <c r="E1131" s="2">
        <v>42767</v>
      </c>
      <c r="F1131" s="17">
        <v>840000</v>
      </c>
      <c r="G1131" s="17">
        <v>25766.87</v>
      </c>
      <c r="H1131" s="1"/>
      <c r="I1131" s="1" t="s">
        <v>21</v>
      </c>
      <c r="J1131" s="1" t="s">
        <v>22</v>
      </c>
      <c r="K1131" s="1" t="s">
        <v>360</v>
      </c>
      <c r="L1131" s="1" t="s">
        <v>359</v>
      </c>
      <c r="M1131" s="1"/>
      <c r="N1131" s="1" t="s">
        <v>363</v>
      </c>
      <c r="O1131" s="31">
        <v>1</v>
      </c>
      <c r="P1131" s="31">
        <v>1</v>
      </c>
      <c r="Q1131" s="32">
        <v>2005</v>
      </c>
    </row>
    <row r="1132" spans="1:17" x14ac:dyDescent="0.25">
      <c r="A1132" s="1" t="s">
        <v>391</v>
      </c>
      <c r="B1132" s="31">
        <v>81.099999999999994</v>
      </c>
      <c r="C1132" s="1" t="s">
        <v>20</v>
      </c>
      <c r="D1132" s="2">
        <v>42736</v>
      </c>
      <c r="E1132" s="2">
        <v>42736</v>
      </c>
      <c r="F1132" s="17">
        <v>2090000</v>
      </c>
      <c r="G1132" s="17">
        <v>25770.65</v>
      </c>
      <c r="H1132" s="1"/>
      <c r="I1132" s="1" t="s">
        <v>21</v>
      </c>
      <c r="J1132" s="1" t="s">
        <v>32</v>
      </c>
      <c r="K1132" s="1" t="s">
        <v>360</v>
      </c>
      <c r="L1132" s="1" t="s">
        <v>359</v>
      </c>
      <c r="M1132" s="1"/>
      <c r="N1132" s="1" t="s">
        <v>336</v>
      </c>
      <c r="O1132" s="31">
        <v>1</v>
      </c>
      <c r="P1132" s="31">
        <v>2</v>
      </c>
      <c r="Q1132" s="32">
        <v>2003</v>
      </c>
    </row>
    <row r="1133" spans="1:17" x14ac:dyDescent="0.25">
      <c r="A1133" s="1" t="s">
        <v>391</v>
      </c>
      <c r="B1133" s="31">
        <v>81.099999999999994</v>
      </c>
      <c r="C1133" s="1" t="s">
        <v>20</v>
      </c>
      <c r="D1133" s="2">
        <v>42736</v>
      </c>
      <c r="E1133" s="2">
        <v>42736</v>
      </c>
      <c r="F1133" s="17">
        <v>2090000</v>
      </c>
      <c r="G1133" s="17">
        <v>25770.65</v>
      </c>
      <c r="H1133" s="1"/>
      <c r="I1133" s="1" t="s">
        <v>21</v>
      </c>
      <c r="J1133" s="1" t="s">
        <v>32</v>
      </c>
      <c r="K1133" s="1" t="s">
        <v>360</v>
      </c>
      <c r="L1133" s="1" t="s">
        <v>359</v>
      </c>
      <c r="M1133" s="1"/>
      <c r="N1133" s="1" t="s">
        <v>336</v>
      </c>
      <c r="O1133" s="31">
        <v>1</v>
      </c>
      <c r="P1133" s="31">
        <v>2</v>
      </c>
      <c r="Q1133" s="32">
        <v>2003</v>
      </c>
    </row>
    <row r="1134" spans="1:17" x14ac:dyDescent="0.25">
      <c r="A1134" s="1" t="s">
        <v>389</v>
      </c>
      <c r="B1134" s="31">
        <v>33.4</v>
      </c>
      <c r="C1134" s="1" t="s">
        <v>20</v>
      </c>
      <c r="D1134" s="2">
        <v>42675</v>
      </c>
      <c r="E1134" s="2">
        <v>42675</v>
      </c>
      <c r="F1134" s="17">
        <v>864000</v>
      </c>
      <c r="G1134" s="17">
        <v>25868.26</v>
      </c>
      <c r="H1134" s="1"/>
      <c r="I1134" s="1" t="s">
        <v>21</v>
      </c>
      <c r="J1134" s="1" t="s">
        <v>22</v>
      </c>
      <c r="K1134" s="1" t="s">
        <v>360</v>
      </c>
      <c r="L1134" s="1" t="s">
        <v>359</v>
      </c>
      <c r="M1134" s="1"/>
      <c r="N1134" s="1" t="s">
        <v>390</v>
      </c>
      <c r="O1134" s="31">
        <v>2</v>
      </c>
      <c r="P1134" s="31">
        <v>1</v>
      </c>
      <c r="Q1134" s="32">
        <v>2014</v>
      </c>
    </row>
    <row r="1135" spans="1:17" x14ac:dyDescent="0.25">
      <c r="A1135" s="1" t="s">
        <v>376</v>
      </c>
      <c r="B1135" s="31">
        <v>50</v>
      </c>
      <c r="C1135" s="1" t="s">
        <v>20</v>
      </c>
      <c r="D1135" s="2">
        <v>42644</v>
      </c>
      <c r="E1135" s="2">
        <v>42644</v>
      </c>
      <c r="F1135" s="17">
        <v>1300000</v>
      </c>
      <c r="G1135" s="17">
        <v>26000</v>
      </c>
      <c r="H1135" s="1"/>
      <c r="I1135" s="1" t="s">
        <v>21</v>
      </c>
      <c r="J1135" s="1" t="s">
        <v>22</v>
      </c>
      <c r="K1135" s="1" t="s">
        <v>360</v>
      </c>
      <c r="L1135" s="1" t="s">
        <v>359</v>
      </c>
      <c r="M1135" s="1"/>
      <c r="N1135" s="1"/>
      <c r="O1135" s="31">
        <v>5</v>
      </c>
      <c r="P1135" s="31">
        <v>2</v>
      </c>
      <c r="Q1135" s="32">
        <v>2009</v>
      </c>
    </row>
    <row r="1136" spans="1:17" x14ac:dyDescent="0.25">
      <c r="A1136" s="1" t="s">
        <v>376</v>
      </c>
      <c r="B1136" s="31">
        <v>50</v>
      </c>
      <c r="C1136" s="1" t="s">
        <v>20</v>
      </c>
      <c r="D1136" s="2">
        <v>42644</v>
      </c>
      <c r="E1136" s="2">
        <v>42644</v>
      </c>
      <c r="F1136" s="17">
        <v>1300000</v>
      </c>
      <c r="G1136" s="17">
        <v>26000</v>
      </c>
      <c r="H1136" s="1"/>
      <c r="I1136" s="1" t="s">
        <v>21</v>
      </c>
      <c r="J1136" s="1" t="s">
        <v>22</v>
      </c>
      <c r="K1136" s="1" t="s">
        <v>360</v>
      </c>
      <c r="L1136" s="1" t="s">
        <v>359</v>
      </c>
      <c r="M1136" s="1"/>
      <c r="N1136" s="1"/>
      <c r="O1136" s="31">
        <v>5</v>
      </c>
      <c r="P1136" s="31">
        <v>2</v>
      </c>
      <c r="Q1136" s="32">
        <v>2009</v>
      </c>
    </row>
    <row r="1137" spans="1:17" x14ac:dyDescent="0.25">
      <c r="A1137" s="1" t="s">
        <v>382</v>
      </c>
      <c r="B1137" s="31">
        <v>61.2</v>
      </c>
      <c r="C1137" s="1" t="s">
        <v>20</v>
      </c>
      <c r="D1137" s="2">
        <v>42644</v>
      </c>
      <c r="E1137" s="2">
        <v>42644</v>
      </c>
      <c r="F1137" s="17">
        <v>1600000</v>
      </c>
      <c r="G1137" s="17">
        <v>26143.79</v>
      </c>
      <c r="H1137" s="1"/>
      <c r="I1137" s="1" t="s">
        <v>21</v>
      </c>
      <c r="J1137" s="1" t="s">
        <v>22</v>
      </c>
      <c r="K1137" s="1" t="s">
        <v>360</v>
      </c>
      <c r="L1137" s="1" t="s">
        <v>359</v>
      </c>
      <c r="M1137" s="1"/>
      <c r="N1137" s="1" t="s">
        <v>383</v>
      </c>
      <c r="O1137" s="31">
        <v>3</v>
      </c>
      <c r="P1137" s="31">
        <v>1</v>
      </c>
      <c r="Q1137" s="32">
        <v>2016</v>
      </c>
    </row>
    <row r="1138" spans="1:17" x14ac:dyDescent="0.25">
      <c r="A1138" s="1" t="s">
        <v>407</v>
      </c>
      <c r="B1138" s="31">
        <v>38.1</v>
      </c>
      <c r="C1138" s="1" t="s">
        <v>20</v>
      </c>
      <c r="D1138" s="2">
        <v>42795</v>
      </c>
      <c r="E1138" s="2">
        <v>42795</v>
      </c>
      <c r="F1138" s="17">
        <v>1000000</v>
      </c>
      <c r="G1138" s="17">
        <v>26246.720000000001</v>
      </c>
      <c r="H1138" s="1"/>
      <c r="I1138" s="1" t="s">
        <v>21</v>
      </c>
      <c r="J1138" s="1" t="s">
        <v>22</v>
      </c>
      <c r="K1138" s="1" t="s">
        <v>360</v>
      </c>
      <c r="L1138" s="1" t="s">
        <v>359</v>
      </c>
      <c r="M1138" s="1"/>
      <c r="N1138" s="1" t="s">
        <v>299</v>
      </c>
      <c r="O1138" s="31">
        <v>3</v>
      </c>
      <c r="P1138" s="31">
        <v>1</v>
      </c>
      <c r="Q1138" s="32">
        <v>2015</v>
      </c>
    </row>
    <row r="1139" spans="1:17" x14ac:dyDescent="0.25">
      <c r="A1139" s="1" t="s">
        <v>378</v>
      </c>
      <c r="B1139" s="31">
        <v>47.6</v>
      </c>
      <c r="C1139" s="1" t="s">
        <v>20</v>
      </c>
      <c r="D1139" s="2">
        <v>42644</v>
      </c>
      <c r="E1139" s="2">
        <v>42675</v>
      </c>
      <c r="F1139" s="17">
        <v>1250000</v>
      </c>
      <c r="G1139" s="17">
        <v>26260.5</v>
      </c>
      <c r="H1139" s="1"/>
      <c r="I1139" s="1" t="s">
        <v>21</v>
      </c>
      <c r="J1139" s="1" t="s">
        <v>22</v>
      </c>
      <c r="K1139" s="1" t="s">
        <v>360</v>
      </c>
      <c r="L1139" s="1" t="s">
        <v>359</v>
      </c>
      <c r="M1139" s="1"/>
      <c r="N1139" s="1" t="s">
        <v>299</v>
      </c>
      <c r="O1139" s="31">
        <v>4</v>
      </c>
      <c r="P1139" s="31">
        <v>1</v>
      </c>
      <c r="Q1139" s="32">
        <v>2015</v>
      </c>
    </row>
    <row r="1140" spans="1:17" x14ac:dyDescent="0.25">
      <c r="A1140" s="1" t="s">
        <v>378</v>
      </c>
      <c r="B1140" s="31">
        <v>47.7</v>
      </c>
      <c r="C1140" s="1" t="s">
        <v>20</v>
      </c>
      <c r="D1140" s="2">
        <v>42644</v>
      </c>
      <c r="E1140" s="2">
        <v>42644</v>
      </c>
      <c r="F1140" s="17">
        <v>1266000</v>
      </c>
      <c r="G1140" s="17">
        <v>26540.880000000001</v>
      </c>
      <c r="H1140" s="1"/>
      <c r="I1140" s="1" t="s">
        <v>21</v>
      </c>
      <c r="J1140" s="1" t="s">
        <v>22</v>
      </c>
      <c r="K1140" s="1" t="s">
        <v>360</v>
      </c>
      <c r="L1140" s="1" t="s">
        <v>359</v>
      </c>
      <c r="M1140" s="1"/>
      <c r="N1140" s="1" t="s">
        <v>299</v>
      </c>
      <c r="O1140" s="31">
        <v>1</v>
      </c>
      <c r="P1140" s="31">
        <v>1</v>
      </c>
      <c r="Q1140" s="32">
        <v>2015</v>
      </c>
    </row>
    <row r="1141" spans="1:17" x14ac:dyDescent="0.25">
      <c r="A1141" s="1" t="s">
        <v>371</v>
      </c>
      <c r="B1141" s="31">
        <v>30.1</v>
      </c>
      <c r="C1141" s="1" t="s">
        <v>20</v>
      </c>
      <c r="D1141" s="2">
        <v>42767</v>
      </c>
      <c r="E1141" s="2">
        <v>42767</v>
      </c>
      <c r="F1141" s="17">
        <v>800000</v>
      </c>
      <c r="G1141" s="17">
        <v>26578.07</v>
      </c>
      <c r="H1141" s="1"/>
      <c r="I1141" s="1" t="s">
        <v>21</v>
      </c>
      <c r="J1141" s="1" t="s">
        <v>22</v>
      </c>
      <c r="K1141" s="1" t="s">
        <v>360</v>
      </c>
      <c r="L1141" s="1" t="s">
        <v>359</v>
      </c>
      <c r="M1141" s="1"/>
      <c r="N1141" s="1" t="s">
        <v>372</v>
      </c>
      <c r="O1141" s="31">
        <v>2</v>
      </c>
      <c r="P1141" s="31">
        <v>1</v>
      </c>
      <c r="Q1141" s="32">
        <v>2011</v>
      </c>
    </row>
    <row r="1142" spans="1:17" x14ac:dyDescent="0.25">
      <c r="A1142" s="1" t="s">
        <v>378</v>
      </c>
      <c r="B1142" s="31">
        <v>33.9</v>
      </c>
      <c r="C1142" s="1" t="s">
        <v>20</v>
      </c>
      <c r="D1142" s="2">
        <v>42675</v>
      </c>
      <c r="E1142" s="2">
        <v>42675</v>
      </c>
      <c r="F1142" s="17">
        <v>910000</v>
      </c>
      <c r="G1142" s="17">
        <v>26843.66</v>
      </c>
      <c r="H1142" s="1"/>
      <c r="I1142" s="1" t="s">
        <v>21</v>
      </c>
      <c r="J1142" s="1" t="s">
        <v>32</v>
      </c>
      <c r="K1142" s="1" t="s">
        <v>360</v>
      </c>
      <c r="L1142" s="1" t="s">
        <v>359</v>
      </c>
      <c r="M1142" s="1"/>
      <c r="N1142" s="1" t="s">
        <v>61</v>
      </c>
      <c r="O1142" s="31">
        <v>1</v>
      </c>
      <c r="P1142" s="31">
        <v>2</v>
      </c>
      <c r="Q1142" s="32">
        <v>2007</v>
      </c>
    </row>
    <row r="1143" spans="1:17" x14ac:dyDescent="0.25">
      <c r="A1143" s="1" t="s">
        <v>378</v>
      </c>
      <c r="B1143" s="31">
        <v>33.9</v>
      </c>
      <c r="C1143" s="1" t="s">
        <v>20</v>
      </c>
      <c r="D1143" s="2">
        <v>42675</v>
      </c>
      <c r="E1143" s="2">
        <v>42675</v>
      </c>
      <c r="F1143" s="17">
        <v>910000</v>
      </c>
      <c r="G1143" s="17">
        <v>26843.66</v>
      </c>
      <c r="H1143" s="1"/>
      <c r="I1143" s="1" t="s">
        <v>21</v>
      </c>
      <c r="J1143" s="1" t="s">
        <v>32</v>
      </c>
      <c r="K1143" s="1" t="s">
        <v>360</v>
      </c>
      <c r="L1143" s="1" t="s">
        <v>359</v>
      </c>
      <c r="M1143" s="1"/>
      <c r="N1143" s="1" t="s">
        <v>61</v>
      </c>
      <c r="O1143" s="31">
        <v>1</v>
      </c>
      <c r="P1143" s="31">
        <v>2</v>
      </c>
      <c r="Q1143" s="32">
        <v>2007</v>
      </c>
    </row>
    <row r="1144" spans="1:17" x14ac:dyDescent="0.25">
      <c r="A1144" s="1" t="s">
        <v>396</v>
      </c>
      <c r="B1144" s="31">
        <v>35.700000000000003</v>
      </c>
      <c r="C1144" s="1" t="s">
        <v>20</v>
      </c>
      <c r="D1144" s="2">
        <v>42644</v>
      </c>
      <c r="E1144" s="2">
        <v>42644</v>
      </c>
      <c r="F1144" s="17">
        <v>960000</v>
      </c>
      <c r="G1144" s="17">
        <v>26890.76</v>
      </c>
      <c r="H1144" s="1"/>
      <c r="I1144" s="1" t="s">
        <v>21</v>
      </c>
      <c r="J1144" s="1" t="s">
        <v>22</v>
      </c>
      <c r="K1144" s="1" t="s">
        <v>360</v>
      </c>
      <c r="L1144" s="1" t="s">
        <v>359</v>
      </c>
      <c r="M1144" s="1"/>
      <c r="N1144" s="1" t="s">
        <v>90</v>
      </c>
      <c r="O1144" s="31">
        <v>3</v>
      </c>
      <c r="P1144" s="31">
        <v>1</v>
      </c>
      <c r="Q1144" s="32">
        <v>2003</v>
      </c>
    </row>
    <row r="1145" spans="1:17" x14ac:dyDescent="0.25">
      <c r="A1145" s="1" t="s">
        <v>374</v>
      </c>
      <c r="B1145" s="31">
        <v>42.7</v>
      </c>
      <c r="C1145" s="1" t="s">
        <v>20</v>
      </c>
      <c r="D1145" s="2">
        <v>42644</v>
      </c>
      <c r="E1145" s="2">
        <v>42644</v>
      </c>
      <c r="F1145" s="17">
        <v>1150000</v>
      </c>
      <c r="G1145" s="17">
        <v>26932.080000000002</v>
      </c>
      <c r="H1145" s="1"/>
      <c r="I1145" s="1" t="s">
        <v>21</v>
      </c>
      <c r="J1145" s="1" t="s">
        <v>32</v>
      </c>
      <c r="K1145" s="1" t="s">
        <v>360</v>
      </c>
      <c r="L1145" s="1" t="s">
        <v>359</v>
      </c>
      <c r="M1145" s="1"/>
      <c r="N1145" s="1" t="s">
        <v>128</v>
      </c>
      <c r="O1145" s="31">
        <v>4</v>
      </c>
      <c r="P1145" s="31">
        <v>1</v>
      </c>
      <c r="Q1145" s="32">
        <v>2002</v>
      </c>
    </row>
    <row r="1146" spans="1:17" x14ac:dyDescent="0.25">
      <c r="A1146" s="1" t="s">
        <v>389</v>
      </c>
      <c r="B1146" s="31">
        <v>41.4</v>
      </c>
      <c r="C1146" s="1" t="s">
        <v>20</v>
      </c>
      <c r="D1146" s="2">
        <v>42644</v>
      </c>
      <c r="E1146" s="2">
        <v>42644</v>
      </c>
      <c r="F1146" s="17">
        <v>1116000</v>
      </c>
      <c r="G1146" s="17">
        <v>26956.52</v>
      </c>
      <c r="H1146" s="1"/>
      <c r="I1146" s="1" t="s">
        <v>21</v>
      </c>
      <c r="J1146" s="1" t="s">
        <v>22</v>
      </c>
      <c r="K1146" s="1" t="s">
        <v>360</v>
      </c>
      <c r="L1146" s="1" t="s">
        <v>359</v>
      </c>
      <c r="M1146" s="1"/>
      <c r="N1146" s="1" t="s">
        <v>390</v>
      </c>
      <c r="O1146" s="31">
        <v>2</v>
      </c>
      <c r="P1146" s="31">
        <v>1</v>
      </c>
      <c r="Q1146" s="32">
        <v>2015</v>
      </c>
    </row>
    <row r="1147" spans="1:17" x14ac:dyDescent="0.25">
      <c r="A1147" s="1" t="s">
        <v>371</v>
      </c>
      <c r="B1147" s="31">
        <v>44.5</v>
      </c>
      <c r="C1147" s="1" t="s">
        <v>20</v>
      </c>
      <c r="D1147" s="2">
        <v>42705</v>
      </c>
      <c r="E1147" s="2">
        <v>42705</v>
      </c>
      <c r="F1147" s="17">
        <v>1200000</v>
      </c>
      <c r="G1147" s="17">
        <v>26966.29</v>
      </c>
      <c r="H1147" s="1"/>
      <c r="I1147" s="1" t="s">
        <v>21</v>
      </c>
      <c r="J1147" s="1" t="s">
        <v>22</v>
      </c>
      <c r="K1147" s="1" t="s">
        <v>360</v>
      </c>
      <c r="L1147" s="1" t="s">
        <v>359</v>
      </c>
      <c r="M1147" s="1"/>
      <c r="N1147" s="1" t="s">
        <v>372</v>
      </c>
      <c r="O1147" s="31">
        <v>5</v>
      </c>
      <c r="P1147" s="31">
        <v>1</v>
      </c>
      <c r="Q1147" s="32">
        <v>2013</v>
      </c>
    </row>
    <row r="1148" spans="1:17" x14ac:dyDescent="0.25">
      <c r="A1148" s="1" t="s">
        <v>407</v>
      </c>
      <c r="B1148" s="31">
        <v>38.1</v>
      </c>
      <c r="C1148" s="1" t="s">
        <v>20</v>
      </c>
      <c r="D1148" s="2">
        <v>42705</v>
      </c>
      <c r="E1148" s="2">
        <v>42705</v>
      </c>
      <c r="F1148" s="17">
        <v>1050000</v>
      </c>
      <c r="G1148" s="17">
        <v>27559.06</v>
      </c>
      <c r="H1148" s="1"/>
      <c r="I1148" s="1" t="s">
        <v>21</v>
      </c>
      <c r="J1148" s="1" t="s">
        <v>22</v>
      </c>
      <c r="K1148" s="1" t="s">
        <v>360</v>
      </c>
      <c r="L1148" s="1" t="s">
        <v>359</v>
      </c>
      <c r="M1148" s="1"/>
      <c r="N1148" s="1" t="s">
        <v>299</v>
      </c>
      <c r="O1148" s="31">
        <v>3</v>
      </c>
      <c r="P1148" s="31">
        <v>1</v>
      </c>
      <c r="Q1148" s="32">
        <v>2015</v>
      </c>
    </row>
    <row r="1149" spans="1:17" x14ac:dyDescent="0.25">
      <c r="A1149" s="1" t="s">
        <v>364</v>
      </c>
      <c r="B1149" s="31">
        <v>25.8</v>
      </c>
      <c r="C1149" s="1" t="s">
        <v>20</v>
      </c>
      <c r="D1149" s="2">
        <v>42644</v>
      </c>
      <c r="E1149" s="2">
        <v>42644</v>
      </c>
      <c r="F1149" s="17">
        <v>715000</v>
      </c>
      <c r="G1149" s="17">
        <v>27713.18</v>
      </c>
      <c r="H1149" s="1"/>
      <c r="I1149" s="1" t="s">
        <v>21</v>
      </c>
      <c r="J1149" s="1" t="s">
        <v>22</v>
      </c>
      <c r="K1149" s="1" t="s">
        <v>360</v>
      </c>
      <c r="L1149" s="1" t="s">
        <v>359</v>
      </c>
      <c r="M1149" s="1"/>
      <c r="N1149" s="1" t="s">
        <v>336</v>
      </c>
      <c r="O1149" s="31">
        <v>3</v>
      </c>
      <c r="P1149" s="31">
        <v>1</v>
      </c>
      <c r="Q1149" s="32">
        <v>2001</v>
      </c>
    </row>
    <row r="1150" spans="1:17" x14ac:dyDescent="0.25">
      <c r="A1150" s="1" t="s">
        <v>362</v>
      </c>
      <c r="B1150" s="31">
        <v>35.9</v>
      </c>
      <c r="C1150" s="1" t="s">
        <v>20</v>
      </c>
      <c r="D1150" s="2">
        <v>42736</v>
      </c>
      <c r="E1150" s="2">
        <v>42736</v>
      </c>
      <c r="F1150" s="17">
        <v>1000000</v>
      </c>
      <c r="G1150" s="17">
        <v>27855.15</v>
      </c>
      <c r="H1150" s="1"/>
      <c r="I1150" s="1" t="s">
        <v>21</v>
      </c>
      <c r="J1150" s="1" t="s">
        <v>22</v>
      </c>
      <c r="K1150" s="1" t="s">
        <v>360</v>
      </c>
      <c r="L1150" s="1" t="s">
        <v>359</v>
      </c>
      <c r="M1150" s="1"/>
      <c r="N1150" s="1" t="s">
        <v>363</v>
      </c>
      <c r="O1150" s="31">
        <v>5</v>
      </c>
      <c r="P1150" s="31">
        <v>1</v>
      </c>
      <c r="Q1150" s="32">
        <v>2007</v>
      </c>
    </row>
    <row r="1151" spans="1:17" x14ac:dyDescent="0.25">
      <c r="A1151" s="1" t="s">
        <v>395</v>
      </c>
      <c r="B1151" s="31">
        <v>42.9</v>
      </c>
      <c r="C1151" s="1" t="s">
        <v>20</v>
      </c>
      <c r="D1151" s="2">
        <v>42767</v>
      </c>
      <c r="E1151" s="2">
        <v>42767</v>
      </c>
      <c r="F1151" s="17">
        <v>1200000</v>
      </c>
      <c r="G1151" s="17">
        <v>27972.03</v>
      </c>
      <c r="H1151" s="1"/>
      <c r="I1151" s="1" t="s">
        <v>21</v>
      </c>
      <c r="J1151" s="1" t="s">
        <v>22</v>
      </c>
      <c r="K1151" s="1" t="s">
        <v>360</v>
      </c>
      <c r="L1151" s="1" t="s">
        <v>359</v>
      </c>
      <c r="M1151" s="1"/>
      <c r="N1151" s="1" t="s">
        <v>370</v>
      </c>
      <c r="O1151" s="31">
        <v>4</v>
      </c>
      <c r="P1151" s="31">
        <v>2</v>
      </c>
      <c r="Q1151" s="32">
        <v>2013</v>
      </c>
    </row>
    <row r="1152" spans="1:17" x14ac:dyDescent="0.25">
      <c r="A1152" s="1" t="s">
        <v>395</v>
      </c>
      <c r="B1152" s="31">
        <v>42.9</v>
      </c>
      <c r="C1152" s="1" t="s">
        <v>20</v>
      </c>
      <c r="D1152" s="2">
        <v>42767</v>
      </c>
      <c r="E1152" s="2">
        <v>42767</v>
      </c>
      <c r="F1152" s="17">
        <v>1200000</v>
      </c>
      <c r="G1152" s="17">
        <v>27972.03</v>
      </c>
      <c r="H1152" s="1"/>
      <c r="I1152" s="1" t="s">
        <v>21</v>
      </c>
      <c r="J1152" s="1" t="s">
        <v>22</v>
      </c>
      <c r="K1152" s="1" t="s">
        <v>360</v>
      </c>
      <c r="L1152" s="1" t="s">
        <v>359</v>
      </c>
      <c r="M1152" s="1"/>
      <c r="N1152" s="1" t="s">
        <v>370</v>
      </c>
      <c r="O1152" s="31">
        <v>4</v>
      </c>
      <c r="P1152" s="31">
        <v>2</v>
      </c>
      <c r="Q1152" s="32">
        <v>2013</v>
      </c>
    </row>
    <row r="1153" spans="1:17" x14ac:dyDescent="0.25">
      <c r="A1153" s="1" t="s">
        <v>391</v>
      </c>
      <c r="B1153" s="31">
        <v>35.700000000000003</v>
      </c>
      <c r="C1153" s="1" t="s">
        <v>20</v>
      </c>
      <c r="D1153" s="2">
        <v>42767</v>
      </c>
      <c r="E1153" s="2">
        <v>42767</v>
      </c>
      <c r="F1153" s="17">
        <v>1000000</v>
      </c>
      <c r="G1153" s="17">
        <v>28011.200000000001</v>
      </c>
      <c r="H1153" s="1"/>
      <c r="I1153" s="1" t="s">
        <v>21</v>
      </c>
      <c r="J1153" s="1" t="s">
        <v>22</v>
      </c>
      <c r="K1153" s="1" t="s">
        <v>360</v>
      </c>
      <c r="L1153" s="1" t="s">
        <v>359</v>
      </c>
      <c r="M1153" s="1"/>
      <c r="N1153" s="1" t="s">
        <v>234</v>
      </c>
      <c r="O1153" s="31">
        <v>2</v>
      </c>
      <c r="P1153" s="31">
        <v>1</v>
      </c>
      <c r="Q1153" s="32">
        <v>2006</v>
      </c>
    </row>
    <row r="1154" spans="1:17" x14ac:dyDescent="0.25">
      <c r="A1154" s="1" t="s">
        <v>391</v>
      </c>
      <c r="B1154" s="31">
        <v>48.1</v>
      </c>
      <c r="C1154" s="1" t="s">
        <v>20</v>
      </c>
      <c r="D1154" s="2">
        <v>42644</v>
      </c>
      <c r="E1154" s="2">
        <v>42644</v>
      </c>
      <c r="F1154" s="17">
        <v>1350000</v>
      </c>
      <c r="G1154" s="17">
        <v>28066.53</v>
      </c>
      <c r="H1154" s="1"/>
      <c r="I1154" s="1" t="s">
        <v>21</v>
      </c>
      <c r="J1154" s="1" t="s">
        <v>22</v>
      </c>
      <c r="K1154" s="1" t="s">
        <v>360</v>
      </c>
      <c r="L1154" s="1" t="s">
        <v>359</v>
      </c>
      <c r="M1154" s="1"/>
      <c r="N1154" s="1" t="s">
        <v>234</v>
      </c>
      <c r="O1154" s="31">
        <v>7</v>
      </c>
      <c r="P1154" s="31">
        <v>1</v>
      </c>
      <c r="Q1154" s="32">
        <v>2002</v>
      </c>
    </row>
    <row r="1155" spans="1:17" x14ac:dyDescent="0.25">
      <c r="A1155" s="1" t="s">
        <v>364</v>
      </c>
      <c r="B1155" s="31">
        <v>35.5</v>
      </c>
      <c r="C1155" s="1" t="s">
        <v>20</v>
      </c>
      <c r="D1155" s="2">
        <v>42705</v>
      </c>
      <c r="E1155" s="2">
        <v>42705</v>
      </c>
      <c r="F1155" s="17">
        <v>1000000</v>
      </c>
      <c r="G1155" s="17">
        <v>28169.01</v>
      </c>
      <c r="H1155" s="1"/>
      <c r="I1155" s="1" t="s">
        <v>21</v>
      </c>
      <c r="J1155" s="1" t="s">
        <v>22</v>
      </c>
      <c r="K1155" s="1" t="s">
        <v>360</v>
      </c>
      <c r="L1155" s="1" t="s">
        <v>359</v>
      </c>
      <c r="M1155" s="1"/>
      <c r="N1155" s="1" t="s">
        <v>336</v>
      </c>
      <c r="O1155" s="31">
        <v>6</v>
      </c>
      <c r="P1155" s="31">
        <v>1</v>
      </c>
      <c r="Q1155" s="32">
        <v>2007</v>
      </c>
    </row>
    <row r="1156" spans="1:17" x14ac:dyDescent="0.25">
      <c r="A1156" s="1" t="s">
        <v>398</v>
      </c>
      <c r="B1156" s="31">
        <v>42.5</v>
      </c>
      <c r="C1156" s="1" t="s">
        <v>20</v>
      </c>
      <c r="D1156" s="2">
        <v>42767</v>
      </c>
      <c r="E1156" s="2">
        <v>42767</v>
      </c>
      <c r="F1156" s="17">
        <v>1200000</v>
      </c>
      <c r="G1156" s="17">
        <v>28235.29</v>
      </c>
      <c r="H1156" s="1"/>
      <c r="I1156" s="1" t="s">
        <v>21</v>
      </c>
      <c r="J1156" s="1" t="s">
        <v>22</v>
      </c>
      <c r="K1156" s="1" t="s">
        <v>360</v>
      </c>
      <c r="L1156" s="1" t="s">
        <v>359</v>
      </c>
      <c r="M1156" s="1"/>
      <c r="N1156" s="1" t="s">
        <v>299</v>
      </c>
      <c r="O1156" s="31">
        <v>3</v>
      </c>
      <c r="P1156" s="31">
        <v>2</v>
      </c>
      <c r="Q1156" s="32">
        <v>2011</v>
      </c>
    </row>
    <row r="1157" spans="1:17" x14ac:dyDescent="0.25">
      <c r="A1157" s="1" t="s">
        <v>398</v>
      </c>
      <c r="B1157" s="31">
        <v>42.5</v>
      </c>
      <c r="C1157" s="1" t="s">
        <v>20</v>
      </c>
      <c r="D1157" s="2">
        <v>42767</v>
      </c>
      <c r="E1157" s="2">
        <v>42767</v>
      </c>
      <c r="F1157" s="17">
        <v>1200000</v>
      </c>
      <c r="G1157" s="17">
        <v>28235.29</v>
      </c>
      <c r="H1157" s="1"/>
      <c r="I1157" s="1" t="s">
        <v>21</v>
      </c>
      <c r="J1157" s="1" t="s">
        <v>22</v>
      </c>
      <c r="K1157" s="1" t="s">
        <v>360</v>
      </c>
      <c r="L1157" s="1" t="s">
        <v>359</v>
      </c>
      <c r="M1157" s="1"/>
      <c r="N1157" s="1" t="s">
        <v>299</v>
      </c>
      <c r="O1157" s="31">
        <v>3</v>
      </c>
      <c r="P1157" s="31">
        <v>2</v>
      </c>
      <c r="Q1157" s="32">
        <v>2011</v>
      </c>
    </row>
    <row r="1158" spans="1:17" x14ac:dyDescent="0.25">
      <c r="A1158" s="1" t="s">
        <v>362</v>
      </c>
      <c r="B1158" s="31">
        <v>35.4</v>
      </c>
      <c r="C1158" s="1" t="s">
        <v>20</v>
      </c>
      <c r="D1158" s="2">
        <v>42767</v>
      </c>
      <c r="E1158" s="2">
        <v>42795</v>
      </c>
      <c r="F1158" s="17">
        <v>1000000</v>
      </c>
      <c r="G1158" s="17">
        <v>28248.59</v>
      </c>
      <c r="H1158" s="1"/>
      <c r="I1158" s="1" t="s">
        <v>21</v>
      </c>
      <c r="J1158" s="1" t="s">
        <v>22</v>
      </c>
      <c r="K1158" s="1" t="s">
        <v>360</v>
      </c>
      <c r="L1158" s="1" t="s">
        <v>359</v>
      </c>
      <c r="M1158" s="1"/>
      <c r="N1158" s="1" t="s">
        <v>299</v>
      </c>
      <c r="O1158" s="31">
        <v>4</v>
      </c>
      <c r="P1158" s="31">
        <v>1</v>
      </c>
      <c r="Q1158" s="32">
        <v>2006</v>
      </c>
    </row>
    <row r="1159" spans="1:17" x14ac:dyDescent="0.25">
      <c r="A1159" s="1" t="s">
        <v>374</v>
      </c>
      <c r="B1159" s="31">
        <v>29.9</v>
      </c>
      <c r="C1159" s="1" t="s">
        <v>20</v>
      </c>
      <c r="D1159" s="2">
        <v>42705</v>
      </c>
      <c r="E1159" s="2">
        <v>42705</v>
      </c>
      <c r="F1159" s="17">
        <v>850000</v>
      </c>
      <c r="G1159" s="17">
        <v>28428.09</v>
      </c>
      <c r="H1159" s="1"/>
      <c r="I1159" s="1" t="s">
        <v>21</v>
      </c>
      <c r="J1159" s="1" t="s">
        <v>22</v>
      </c>
      <c r="K1159" s="1" t="s">
        <v>360</v>
      </c>
      <c r="L1159" s="1" t="s">
        <v>359</v>
      </c>
      <c r="M1159" s="1"/>
      <c r="N1159" s="1" t="s">
        <v>128</v>
      </c>
      <c r="O1159" s="31">
        <v>3</v>
      </c>
      <c r="P1159" s="31">
        <v>1</v>
      </c>
      <c r="Q1159" s="32">
        <v>2000</v>
      </c>
    </row>
    <row r="1160" spans="1:17" x14ac:dyDescent="0.25">
      <c r="A1160" s="1" t="s">
        <v>366</v>
      </c>
      <c r="B1160" s="31">
        <v>52.9</v>
      </c>
      <c r="C1160" s="1" t="s">
        <v>20</v>
      </c>
      <c r="D1160" s="2">
        <v>42675</v>
      </c>
      <c r="E1160" s="2">
        <v>42705</v>
      </c>
      <c r="F1160" s="17">
        <v>1530000</v>
      </c>
      <c r="G1160" s="17">
        <v>28922.5</v>
      </c>
      <c r="H1160" s="1"/>
      <c r="I1160" s="1" t="s">
        <v>21</v>
      </c>
      <c r="J1160" s="1" t="s">
        <v>22</v>
      </c>
      <c r="K1160" s="1" t="s">
        <v>360</v>
      </c>
      <c r="L1160" s="1" t="s">
        <v>359</v>
      </c>
      <c r="M1160" s="1"/>
      <c r="N1160" s="1" t="s">
        <v>386</v>
      </c>
      <c r="O1160" s="31">
        <v>3</v>
      </c>
      <c r="P1160" s="31">
        <v>1</v>
      </c>
      <c r="Q1160" s="32">
        <v>2005</v>
      </c>
    </row>
    <row r="1161" spans="1:17" x14ac:dyDescent="0.25">
      <c r="A1161" s="1" t="s">
        <v>362</v>
      </c>
      <c r="B1161" s="31">
        <v>59.9</v>
      </c>
      <c r="C1161" s="1" t="s">
        <v>20</v>
      </c>
      <c r="D1161" s="2">
        <v>42644</v>
      </c>
      <c r="E1161" s="2">
        <v>42644</v>
      </c>
      <c r="F1161" s="17">
        <v>1750000</v>
      </c>
      <c r="G1161" s="17">
        <v>29215.360000000001</v>
      </c>
      <c r="H1161" s="1"/>
      <c r="I1161" s="1" t="s">
        <v>21</v>
      </c>
      <c r="J1161" s="1" t="s">
        <v>22</v>
      </c>
      <c r="K1161" s="1" t="s">
        <v>360</v>
      </c>
      <c r="L1161" s="1" t="s">
        <v>359</v>
      </c>
      <c r="M1161" s="1"/>
      <c r="N1161" s="1" t="s">
        <v>363</v>
      </c>
      <c r="O1161" s="31">
        <v>1</v>
      </c>
      <c r="P1161" s="31">
        <v>1</v>
      </c>
      <c r="Q1161" s="32">
        <v>2013</v>
      </c>
    </row>
    <row r="1162" spans="1:17" x14ac:dyDescent="0.25">
      <c r="A1162" s="1" t="s">
        <v>384</v>
      </c>
      <c r="B1162" s="31">
        <v>30.7</v>
      </c>
      <c r="C1162" s="1" t="s">
        <v>20</v>
      </c>
      <c r="D1162" s="2">
        <v>42675</v>
      </c>
      <c r="E1162" s="2">
        <v>42675</v>
      </c>
      <c r="F1162" s="17">
        <v>900000</v>
      </c>
      <c r="G1162" s="17">
        <v>29315.96</v>
      </c>
      <c r="H1162" s="1"/>
      <c r="I1162" s="1" t="s">
        <v>21</v>
      </c>
      <c r="J1162" s="1" t="s">
        <v>22</v>
      </c>
      <c r="K1162" s="1" t="s">
        <v>360</v>
      </c>
      <c r="L1162" s="1" t="s">
        <v>359</v>
      </c>
      <c r="M1162" s="1"/>
      <c r="N1162" s="1" t="s">
        <v>336</v>
      </c>
      <c r="O1162" s="31">
        <v>1</v>
      </c>
      <c r="P1162" s="31">
        <v>2</v>
      </c>
      <c r="Q1162" s="32">
        <v>2002</v>
      </c>
    </row>
    <row r="1163" spans="1:17" x14ac:dyDescent="0.25">
      <c r="A1163" s="1" t="s">
        <v>384</v>
      </c>
      <c r="B1163" s="31">
        <v>30.7</v>
      </c>
      <c r="C1163" s="1" t="s">
        <v>20</v>
      </c>
      <c r="D1163" s="2">
        <v>42675</v>
      </c>
      <c r="E1163" s="2">
        <v>42675</v>
      </c>
      <c r="F1163" s="17">
        <v>900000</v>
      </c>
      <c r="G1163" s="17">
        <v>29315.96</v>
      </c>
      <c r="H1163" s="1"/>
      <c r="I1163" s="1" t="s">
        <v>21</v>
      </c>
      <c r="J1163" s="1" t="s">
        <v>22</v>
      </c>
      <c r="K1163" s="1" t="s">
        <v>360</v>
      </c>
      <c r="L1163" s="1" t="s">
        <v>359</v>
      </c>
      <c r="M1163" s="1"/>
      <c r="N1163" s="1" t="s">
        <v>336</v>
      </c>
      <c r="O1163" s="31">
        <v>1</v>
      </c>
      <c r="P1163" s="31">
        <v>2</v>
      </c>
      <c r="Q1163" s="32">
        <v>2002</v>
      </c>
    </row>
    <row r="1164" spans="1:17" x14ac:dyDescent="0.25">
      <c r="A1164" s="1" t="s">
        <v>381</v>
      </c>
      <c r="B1164" s="31">
        <v>61.1</v>
      </c>
      <c r="C1164" s="1" t="s">
        <v>20</v>
      </c>
      <c r="D1164" s="2">
        <v>42736</v>
      </c>
      <c r="E1164" s="2">
        <v>42736</v>
      </c>
      <c r="F1164" s="17">
        <v>1800000</v>
      </c>
      <c r="G1164" s="17">
        <v>29459.9</v>
      </c>
      <c r="H1164" s="1"/>
      <c r="I1164" s="1" t="s">
        <v>21</v>
      </c>
      <c r="J1164" s="1" t="s">
        <v>22</v>
      </c>
      <c r="K1164" s="1" t="s">
        <v>360</v>
      </c>
      <c r="L1164" s="1" t="s">
        <v>359</v>
      </c>
      <c r="M1164" s="1"/>
      <c r="N1164" s="1" t="s">
        <v>363</v>
      </c>
      <c r="O1164" s="31">
        <v>4</v>
      </c>
      <c r="P1164" s="31">
        <v>1</v>
      </c>
      <c r="Q1164" s="32">
        <v>2003</v>
      </c>
    </row>
    <row r="1165" spans="1:17" x14ac:dyDescent="0.25">
      <c r="A1165" s="1" t="s">
        <v>381</v>
      </c>
      <c r="B1165" s="31">
        <v>57.6</v>
      </c>
      <c r="C1165" s="1" t="s">
        <v>20</v>
      </c>
      <c r="D1165" s="2">
        <v>42767</v>
      </c>
      <c r="E1165" s="2">
        <v>42767</v>
      </c>
      <c r="F1165" s="17">
        <v>1700000</v>
      </c>
      <c r="G1165" s="17">
        <v>29513.89</v>
      </c>
      <c r="H1165" s="1"/>
      <c r="I1165" s="1" t="s">
        <v>21</v>
      </c>
      <c r="J1165" s="1" t="s">
        <v>22</v>
      </c>
      <c r="K1165" s="1" t="s">
        <v>360</v>
      </c>
      <c r="L1165" s="1" t="s">
        <v>359</v>
      </c>
      <c r="M1165" s="1"/>
      <c r="N1165" s="1" t="s">
        <v>363</v>
      </c>
      <c r="O1165" s="31">
        <v>6</v>
      </c>
      <c r="P1165" s="31">
        <v>1</v>
      </c>
      <c r="Q1165" s="32">
        <v>2011</v>
      </c>
    </row>
    <row r="1166" spans="1:17" x14ac:dyDescent="0.25">
      <c r="A1166" s="1" t="s">
        <v>384</v>
      </c>
      <c r="B1166" s="31">
        <v>40.6</v>
      </c>
      <c r="C1166" s="1" t="s">
        <v>20</v>
      </c>
      <c r="D1166" s="2">
        <v>42705</v>
      </c>
      <c r="E1166" s="2">
        <v>42705</v>
      </c>
      <c r="F1166" s="17">
        <v>1200000</v>
      </c>
      <c r="G1166" s="17">
        <v>29556.65</v>
      </c>
      <c r="H1166" s="1"/>
      <c r="I1166" s="1" t="s">
        <v>21</v>
      </c>
      <c r="J1166" s="1" t="s">
        <v>22</v>
      </c>
      <c r="K1166" s="1" t="s">
        <v>360</v>
      </c>
      <c r="L1166" s="1" t="s">
        <v>359</v>
      </c>
      <c r="M1166" s="1"/>
      <c r="N1166" s="1" t="s">
        <v>336</v>
      </c>
      <c r="O1166" s="31">
        <v>2</v>
      </c>
      <c r="P1166" s="31">
        <v>1</v>
      </c>
      <c r="Q1166" s="32">
        <v>2001</v>
      </c>
    </row>
    <row r="1167" spans="1:17" x14ac:dyDescent="0.25">
      <c r="A1167" s="1" t="s">
        <v>402</v>
      </c>
      <c r="B1167" s="31">
        <v>37</v>
      </c>
      <c r="C1167" s="1" t="s">
        <v>20</v>
      </c>
      <c r="D1167" s="2">
        <v>42736</v>
      </c>
      <c r="E1167" s="2">
        <v>42736</v>
      </c>
      <c r="F1167" s="17">
        <v>1100000</v>
      </c>
      <c r="G1167" s="17">
        <v>29729.73</v>
      </c>
      <c r="H1167" s="1"/>
      <c r="I1167" s="1" t="s">
        <v>21</v>
      </c>
      <c r="J1167" s="1" t="s">
        <v>22</v>
      </c>
      <c r="K1167" s="1" t="s">
        <v>360</v>
      </c>
      <c r="L1167" s="1" t="s">
        <v>359</v>
      </c>
      <c r="M1167" s="1"/>
      <c r="N1167" s="1" t="s">
        <v>299</v>
      </c>
      <c r="O1167" s="31">
        <v>9</v>
      </c>
      <c r="P1167" s="31">
        <v>1</v>
      </c>
      <c r="Q1167" s="32">
        <v>2016</v>
      </c>
    </row>
    <row r="1168" spans="1:17" x14ac:dyDescent="0.25">
      <c r="A1168" s="1" t="s">
        <v>362</v>
      </c>
      <c r="B1168" s="31">
        <v>42</v>
      </c>
      <c r="C1168" s="1" t="s">
        <v>20</v>
      </c>
      <c r="D1168" s="2">
        <v>42705</v>
      </c>
      <c r="E1168" s="2">
        <v>42705</v>
      </c>
      <c r="F1168" s="17">
        <v>1250000</v>
      </c>
      <c r="G1168" s="17">
        <v>29761.9</v>
      </c>
      <c r="H1168" s="1"/>
      <c r="I1168" s="1" t="s">
        <v>21</v>
      </c>
      <c r="J1168" s="1" t="s">
        <v>22</v>
      </c>
      <c r="K1168" s="1" t="s">
        <v>360</v>
      </c>
      <c r="L1168" s="1" t="s">
        <v>359</v>
      </c>
      <c r="M1168" s="1"/>
      <c r="N1168" s="1" t="s">
        <v>368</v>
      </c>
      <c r="O1168" s="31">
        <v>9</v>
      </c>
      <c r="P1168" s="31">
        <v>1</v>
      </c>
      <c r="Q1168" s="32">
        <v>2012</v>
      </c>
    </row>
    <row r="1169" spans="1:17" x14ac:dyDescent="0.25">
      <c r="A1169" s="1" t="s">
        <v>362</v>
      </c>
      <c r="B1169" s="31">
        <v>35.1</v>
      </c>
      <c r="C1169" s="1" t="s">
        <v>20</v>
      </c>
      <c r="D1169" s="2">
        <v>42795</v>
      </c>
      <c r="E1169" s="2">
        <v>42795</v>
      </c>
      <c r="F1169" s="17">
        <v>1050000</v>
      </c>
      <c r="G1169" s="17">
        <v>29914.53</v>
      </c>
      <c r="H1169" s="1"/>
      <c r="I1169" s="1" t="s">
        <v>21</v>
      </c>
      <c r="J1169" s="1" t="s">
        <v>22</v>
      </c>
      <c r="K1169" s="1" t="s">
        <v>360</v>
      </c>
      <c r="L1169" s="1" t="s">
        <v>359</v>
      </c>
      <c r="M1169" s="1"/>
      <c r="N1169" s="1" t="s">
        <v>299</v>
      </c>
      <c r="O1169" s="31">
        <v>1</v>
      </c>
      <c r="P1169" s="31">
        <v>1</v>
      </c>
      <c r="Q1169" s="32">
        <v>2006</v>
      </c>
    </row>
    <row r="1170" spans="1:17" x14ac:dyDescent="0.25">
      <c r="A1170" s="1" t="s">
        <v>389</v>
      </c>
      <c r="B1170" s="31">
        <v>50</v>
      </c>
      <c r="C1170" s="1" t="s">
        <v>20</v>
      </c>
      <c r="D1170" s="2">
        <v>42675</v>
      </c>
      <c r="E1170" s="2">
        <v>42675</v>
      </c>
      <c r="F1170" s="17">
        <v>1500000</v>
      </c>
      <c r="G1170" s="17">
        <v>30000</v>
      </c>
      <c r="H1170" s="1"/>
      <c r="I1170" s="1" t="s">
        <v>21</v>
      </c>
      <c r="J1170" s="1" t="s">
        <v>22</v>
      </c>
      <c r="K1170" s="1" t="s">
        <v>360</v>
      </c>
      <c r="L1170" s="1" t="s">
        <v>359</v>
      </c>
      <c r="M1170" s="1"/>
      <c r="N1170" s="1" t="s">
        <v>397</v>
      </c>
      <c r="O1170" s="31">
        <v>2</v>
      </c>
      <c r="P1170" s="31">
        <v>1</v>
      </c>
      <c r="Q1170" s="32">
        <v>2011</v>
      </c>
    </row>
    <row r="1171" spans="1:17" x14ac:dyDescent="0.25">
      <c r="A1171" s="1" t="s">
        <v>389</v>
      </c>
      <c r="B1171" s="31">
        <v>48</v>
      </c>
      <c r="C1171" s="1" t="s">
        <v>20</v>
      </c>
      <c r="D1171" s="2">
        <v>42705</v>
      </c>
      <c r="E1171" s="2">
        <v>42705</v>
      </c>
      <c r="F1171" s="17">
        <v>1460000</v>
      </c>
      <c r="G1171" s="17">
        <v>30416.67</v>
      </c>
      <c r="H1171" s="1"/>
      <c r="I1171" s="1" t="s">
        <v>21</v>
      </c>
      <c r="J1171" s="1" t="s">
        <v>22</v>
      </c>
      <c r="K1171" s="1" t="s">
        <v>360</v>
      </c>
      <c r="L1171" s="1" t="s">
        <v>359</v>
      </c>
      <c r="M1171" s="1"/>
      <c r="N1171" s="1" t="s">
        <v>390</v>
      </c>
      <c r="O1171" s="31">
        <v>3</v>
      </c>
      <c r="P1171" s="31">
        <v>1</v>
      </c>
      <c r="Q1171" s="32">
        <v>2004</v>
      </c>
    </row>
    <row r="1172" spans="1:17" x14ac:dyDescent="0.25">
      <c r="A1172" s="1" t="s">
        <v>378</v>
      </c>
      <c r="B1172" s="31">
        <v>32.799999999999997</v>
      </c>
      <c r="C1172" s="1" t="s">
        <v>20</v>
      </c>
      <c r="D1172" s="2">
        <v>42644</v>
      </c>
      <c r="E1172" s="2">
        <v>42705</v>
      </c>
      <c r="F1172" s="17">
        <v>1000000</v>
      </c>
      <c r="G1172" s="17">
        <v>30487.8</v>
      </c>
      <c r="H1172" s="1"/>
      <c r="I1172" s="1" t="s">
        <v>21</v>
      </c>
      <c r="J1172" s="1" t="s">
        <v>22</v>
      </c>
      <c r="K1172" s="1" t="s">
        <v>360</v>
      </c>
      <c r="L1172" s="1" t="s">
        <v>359</v>
      </c>
      <c r="M1172" s="1"/>
      <c r="N1172" s="1" t="s">
        <v>61</v>
      </c>
      <c r="O1172" s="31">
        <v>1</v>
      </c>
      <c r="P1172" s="31">
        <v>1</v>
      </c>
      <c r="Q1172" s="32">
        <v>2012</v>
      </c>
    </row>
    <row r="1173" spans="1:17" x14ac:dyDescent="0.25">
      <c r="A1173" s="1" t="s">
        <v>389</v>
      </c>
      <c r="B1173" s="31">
        <v>45.7</v>
      </c>
      <c r="C1173" s="1" t="s">
        <v>20</v>
      </c>
      <c r="D1173" s="2">
        <v>42736</v>
      </c>
      <c r="E1173" s="2">
        <v>42736</v>
      </c>
      <c r="F1173" s="17">
        <v>1400000</v>
      </c>
      <c r="G1173" s="17">
        <v>30634.57</v>
      </c>
      <c r="H1173" s="1"/>
      <c r="I1173" s="1" t="s">
        <v>21</v>
      </c>
      <c r="J1173" s="1" t="s">
        <v>22</v>
      </c>
      <c r="K1173" s="1" t="s">
        <v>360</v>
      </c>
      <c r="L1173" s="1" t="s">
        <v>359</v>
      </c>
      <c r="M1173" s="1"/>
      <c r="N1173" s="1" t="s">
        <v>390</v>
      </c>
      <c r="O1173" s="31">
        <v>1</v>
      </c>
      <c r="P1173" s="31">
        <v>1</v>
      </c>
      <c r="Q1173" s="32">
        <v>2013</v>
      </c>
    </row>
    <row r="1174" spans="1:17" x14ac:dyDescent="0.25">
      <c r="A1174" s="1" t="s">
        <v>367</v>
      </c>
      <c r="B1174" s="31">
        <v>53.2</v>
      </c>
      <c r="C1174" s="1" t="s">
        <v>20</v>
      </c>
      <c r="D1174" s="2">
        <v>42675</v>
      </c>
      <c r="E1174" s="2">
        <v>42675</v>
      </c>
      <c r="F1174" s="17">
        <v>1630000</v>
      </c>
      <c r="G1174" s="17">
        <v>30639.1</v>
      </c>
      <c r="H1174" s="1"/>
      <c r="I1174" s="1" t="s">
        <v>21</v>
      </c>
      <c r="J1174" s="1" t="s">
        <v>22</v>
      </c>
      <c r="K1174" s="1" t="s">
        <v>360</v>
      </c>
      <c r="L1174" s="1" t="s">
        <v>359</v>
      </c>
      <c r="M1174" s="1"/>
      <c r="N1174" s="1" t="s">
        <v>336</v>
      </c>
      <c r="O1174" s="31">
        <v>4</v>
      </c>
      <c r="P1174" s="31">
        <v>2</v>
      </c>
      <c r="Q1174" s="32">
        <v>2006</v>
      </c>
    </row>
    <row r="1175" spans="1:17" x14ac:dyDescent="0.25">
      <c r="A1175" s="1" t="s">
        <v>367</v>
      </c>
      <c r="B1175" s="31">
        <v>53.2</v>
      </c>
      <c r="C1175" s="1" t="s">
        <v>20</v>
      </c>
      <c r="D1175" s="2">
        <v>42675</v>
      </c>
      <c r="E1175" s="2">
        <v>42675</v>
      </c>
      <c r="F1175" s="17">
        <v>1630000</v>
      </c>
      <c r="G1175" s="17">
        <v>30639.1</v>
      </c>
      <c r="H1175" s="1"/>
      <c r="I1175" s="1" t="s">
        <v>21</v>
      </c>
      <c r="J1175" s="1" t="s">
        <v>22</v>
      </c>
      <c r="K1175" s="1" t="s">
        <v>360</v>
      </c>
      <c r="L1175" s="1" t="s">
        <v>359</v>
      </c>
      <c r="M1175" s="1"/>
      <c r="N1175" s="1" t="s">
        <v>336</v>
      </c>
      <c r="O1175" s="31">
        <v>4</v>
      </c>
      <c r="P1175" s="31">
        <v>2</v>
      </c>
      <c r="Q1175" s="32">
        <v>2006</v>
      </c>
    </row>
    <row r="1176" spans="1:17" x14ac:dyDescent="0.25">
      <c r="A1176" s="1" t="s">
        <v>367</v>
      </c>
      <c r="B1176" s="31">
        <v>60.5</v>
      </c>
      <c r="C1176" s="1" t="s">
        <v>20</v>
      </c>
      <c r="D1176" s="2">
        <v>42675</v>
      </c>
      <c r="E1176" s="2">
        <v>42675</v>
      </c>
      <c r="F1176" s="17">
        <v>1867848.95</v>
      </c>
      <c r="G1176" s="17">
        <v>30873.54</v>
      </c>
      <c r="H1176" s="1"/>
      <c r="I1176" s="1" t="s">
        <v>21</v>
      </c>
      <c r="J1176" s="1" t="s">
        <v>22</v>
      </c>
      <c r="K1176" s="1" t="s">
        <v>360</v>
      </c>
      <c r="L1176" s="1" t="s">
        <v>359</v>
      </c>
      <c r="M1176" s="1"/>
      <c r="N1176" s="1" t="s">
        <v>363</v>
      </c>
      <c r="O1176" s="31">
        <v>7</v>
      </c>
      <c r="P1176" s="31">
        <v>1</v>
      </c>
      <c r="Q1176" s="32">
        <v>2014</v>
      </c>
    </row>
    <row r="1177" spans="1:17" x14ac:dyDescent="0.25">
      <c r="A1177" s="1" t="s">
        <v>381</v>
      </c>
      <c r="B1177" s="31">
        <v>57.9</v>
      </c>
      <c r="C1177" s="1" t="s">
        <v>20</v>
      </c>
      <c r="D1177" s="2">
        <v>42767</v>
      </c>
      <c r="E1177" s="2">
        <v>42767</v>
      </c>
      <c r="F1177" s="17">
        <v>1800000</v>
      </c>
      <c r="G1177" s="17">
        <v>31088.080000000002</v>
      </c>
      <c r="H1177" s="1"/>
      <c r="I1177" s="1" t="s">
        <v>21</v>
      </c>
      <c r="J1177" s="1" t="s">
        <v>22</v>
      </c>
      <c r="K1177" s="1" t="s">
        <v>360</v>
      </c>
      <c r="L1177" s="1" t="s">
        <v>359</v>
      </c>
      <c r="M1177" s="1"/>
      <c r="N1177" s="1" t="s">
        <v>363</v>
      </c>
      <c r="O1177" s="31">
        <v>2</v>
      </c>
      <c r="P1177" s="31">
        <v>1</v>
      </c>
      <c r="Q1177" s="32">
        <v>2006</v>
      </c>
    </row>
    <row r="1178" spans="1:17" x14ac:dyDescent="0.25">
      <c r="A1178" s="1" t="s">
        <v>384</v>
      </c>
      <c r="B1178" s="31">
        <v>45.9</v>
      </c>
      <c r="C1178" s="1" t="s">
        <v>20</v>
      </c>
      <c r="D1178" s="2">
        <v>42767</v>
      </c>
      <c r="E1178" s="2">
        <v>42767</v>
      </c>
      <c r="F1178" s="17">
        <v>1430000</v>
      </c>
      <c r="G1178" s="17">
        <v>31154.68</v>
      </c>
      <c r="H1178" s="1"/>
      <c r="I1178" s="1" t="s">
        <v>21</v>
      </c>
      <c r="J1178" s="1" t="s">
        <v>22</v>
      </c>
      <c r="K1178" s="1" t="s">
        <v>360</v>
      </c>
      <c r="L1178" s="1" t="s">
        <v>359</v>
      </c>
      <c r="M1178" s="1"/>
      <c r="N1178" s="1" t="s">
        <v>336</v>
      </c>
      <c r="O1178" s="31">
        <v>1</v>
      </c>
      <c r="P1178" s="31">
        <v>2</v>
      </c>
      <c r="Q1178" s="32">
        <v>2010</v>
      </c>
    </row>
    <row r="1179" spans="1:17" x14ac:dyDescent="0.25">
      <c r="A1179" s="1" t="s">
        <v>384</v>
      </c>
      <c r="B1179" s="31">
        <v>45.9</v>
      </c>
      <c r="C1179" s="1" t="s">
        <v>20</v>
      </c>
      <c r="D1179" s="2">
        <v>42767</v>
      </c>
      <c r="E1179" s="2">
        <v>42767</v>
      </c>
      <c r="F1179" s="17">
        <v>1430000</v>
      </c>
      <c r="G1179" s="17">
        <v>31154.68</v>
      </c>
      <c r="H1179" s="1"/>
      <c r="I1179" s="1" t="s">
        <v>21</v>
      </c>
      <c r="J1179" s="1" t="s">
        <v>22</v>
      </c>
      <c r="K1179" s="1" t="s">
        <v>360</v>
      </c>
      <c r="L1179" s="1" t="s">
        <v>359</v>
      </c>
      <c r="M1179" s="1"/>
      <c r="N1179" s="1" t="s">
        <v>336</v>
      </c>
      <c r="O1179" s="31">
        <v>1</v>
      </c>
      <c r="P1179" s="31">
        <v>2</v>
      </c>
      <c r="Q1179" s="32">
        <v>2010</v>
      </c>
    </row>
    <row r="1180" spans="1:17" x14ac:dyDescent="0.25">
      <c r="A1180" s="1" t="s">
        <v>378</v>
      </c>
      <c r="B1180" s="31">
        <v>47.9</v>
      </c>
      <c r="C1180" s="1" t="s">
        <v>20</v>
      </c>
      <c r="D1180" s="2">
        <v>42795</v>
      </c>
      <c r="E1180" s="2">
        <v>42795</v>
      </c>
      <c r="F1180" s="17">
        <v>1500000</v>
      </c>
      <c r="G1180" s="17">
        <v>31315.24</v>
      </c>
      <c r="H1180" s="1"/>
      <c r="I1180" s="1" t="s">
        <v>21</v>
      </c>
      <c r="J1180" s="1" t="s">
        <v>22</v>
      </c>
      <c r="K1180" s="1" t="s">
        <v>360</v>
      </c>
      <c r="L1180" s="1" t="s">
        <v>359</v>
      </c>
      <c r="M1180" s="1"/>
      <c r="N1180" s="1" t="s">
        <v>299</v>
      </c>
      <c r="O1180" s="31">
        <v>3</v>
      </c>
      <c r="P1180" s="31">
        <v>1</v>
      </c>
      <c r="Q1180" s="32">
        <v>2015</v>
      </c>
    </row>
    <row r="1181" spans="1:17" x14ac:dyDescent="0.25">
      <c r="A1181" s="1" t="s">
        <v>400</v>
      </c>
      <c r="B1181" s="31">
        <v>44.7</v>
      </c>
      <c r="C1181" s="1" t="s">
        <v>20</v>
      </c>
      <c r="D1181" s="2">
        <v>42736</v>
      </c>
      <c r="E1181" s="2">
        <v>42736</v>
      </c>
      <c r="F1181" s="17">
        <v>1400000</v>
      </c>
      <c r="G1181" s="17">
        <v>31319.91</v>
      </c>
      <c r="H1181" s="1"/>
      <c r="I1181" s="1" t="s">
        <v>21</v>
      </c>
      <c r="J1181" s="1" t="s">
        <v>22</v>
      </c>
      <c r="K1181" s="1" t="s">
        <v>360</v>
      </c>
      <c r="L1181" s="1" t="s">
        <v>359</v>
      </c>
      <c r="M1181" s="1"/>
      <c r="N1181" s="1" t="s">
        <v>370</v>
      </c>
      <c r="O1181" s="31">
        <v>1</v>
      </c>
      <c r="P1181" s="31">
        <v>1</v>
      </c>
      <c r="Q1181" s="32">
        <v>2013</v>
      </c>
    </row>
    <row r="1182" spans="1:17" x14ac:dyDescent="0.25">
      <c r="A1182" s="1" t="s">
        <v>364</v>
      </c>
      <c r="B1182" s="31">
        <v>32.799999999999997</v>
      </c>
      <c r="C1182" s="1" t="s">
        <v>20</v>
      </c>
      <c r="D1182" s="2">
        <v>42795</v>
      </c>
      <c r="E1182" s="2">
        <v>42795</v>
      </c>
      <c r="F1182" s="17">
        <v>1028000</v>
      </c>
      <c r="G1182" s="17">
        <v>31341.46</v>
      </c>
      <c r="H1182" s="1"/>
      <c r="I1182" s="1" t="s">
        <v>21</v>
      </c>
      <c r="J1182" s="1" t="s">
        <v>22</v>
      </c>
      <c r="K1182" s="1" t="s">
        <v>360</v>
      </c>
      <c r="L1182" s="1" t="s">
        <v>359</v>
      </c>
      <c r="M1182" s="1"/>
      <c r="N1182" s="1"/>
      <c r="O1182" s="31">
        <v>5</v>
      </c>
      <c r="P1182" s="31">
        <v>1</v>
      </c>
      <c r="Q1182" s="32">
        <v>2011</v>
      </c>
    </row>
    <row r="1183" spans="1:17" x14ac:dyDescent="0.25">
      <c r="A1183" s="1" t="s">
        <v>362</v>
      </c>
      <c r="B1183" s="31">
        <v>43.3</v>
      </c>
      <c r="C1183" s="1" t="s">
        <v>20</v>
      </c>
      <c r="D1183" s="2">
        <v>42644</v>
      </c>
      <c r="E1183" s="2">
        <v>42675</v>
      </c>
      <c r="F1183" s="17">
        <v>1360000</v>
      </c>
      <c r="G1183" s="17">
        <v>31408.78</v>
      </c>
      <c r="H1183" s="1"/>
      <c r="I1183" s="1" t="s">
        <v>21</v>
      </c>
      <c r="J1183" s="1" t="s">
        <v>22</v>
      </c>
      <c r="K1183" s="1" t="s">
        <v>360</v>
      </c>
      <c r="L1183" s="1" t="s">
        <v>359</v>
      </c>
      <c r="M1183" s="1"/>
      <c r="N1183" s="1" t="s">
        <v>299</v>
      </c>
      <c r="O1183" s="31">
        <v>1</v>
      </c>
      <c r="P1183" s="31">
        <v>1</v>
      </c>
      <c r="Q1183" s="32">
        <v>2000</v>
      </c>
    </row>
    <row r="1184" spans="1:17" x14ac:dyDescent="0.25">
      <c r="A1184" s="1" t="s">
        <v>362</v>
      </c>
      <c r="B1184" s="31">
        <v>55.5</v>
      </c>
      <c r="C1184" s="1" t="s">
        <v>20</v>
      </c>
      <c r="D1184" s="2">
        <v>42675</v>
      </c>
      <c r="E1184" s="2">
        <v>42675</v>
      </c>
      <c r="F1184" s="17">
        <v>1752000</v>
      </c>
      <c r="G1184" s="17">
        <v>31567.57</v>
      </c>
      <c r="H1184" s="1"/>
      <c r="I1184" s="1" t="s">
        <v>21</v>
      </c>
      <c r="J1184" s="1" t="s">
        <v>22</v>
      </c>
      <c r="K1184" s="1" t="s">
        <v>360</v>
      </c>
      <c r="L1184" s="1" t="s">
        <v>359</v>
      </c>
      <c r="M1184" s="1"/>
      <c r="N1184" s="1" t="s">
        <v>368</v>
      </c>
      <c r="O1184" s="31">
        <v>3</v>
      </c>
      <c r="P1184" s="31">
        <v>1</v>
      </c>
      <c r="Q1184" s="32">
        <v>2013</v>
      </c>
    </row>
    <row r="1185" spans="1:17" x14ac:dyDescent="0.25">
      <c r="A1185" s="1" t="s">
        <v>378</v>
      </c>
      <c r="B1185" s="31">
        <v>45.5</v>
      </c>
      <c r="C1185" s="1" t="s">
        <v>20</v>
      </c>
      <c r="D1185" s="2">
        <v>42767</v>
      </c>
      <c r="E1185" s="2">
        <v>42767</v>
      </c>
      <c r="F1185" s="17">
        <v>1440000</v>
      </c>
      <c r="G1185" s="17">
        <v>31648.35</v>
      </c>
      <c r="H1185" s="1"/>
      <c r="I1185" s="1" t="s">
        <v>21</v>
      </c>
      <c r="J1185" s="1" t="s">
        <v>22</v>
      </c>
      <c r="K1185" s="1" t="s">
        <v>360</v>
      </c>
      <c r="L1185" s="1" t="s">
        <v>359</v>
      </c>
      <c r="M1185" s="1"/>
      <c r="N1185" s="1" t="s">
        <v>61</v>
      </c>
      <c r="O1185" s="31">
        <v>4</v>
      </c>
      <c r="P1185" s="31">
        <v>1</v>
      </c>
      <c r="Q1185" s="32">
        <v>2014</v>
      </c>
    </row>
    <row r="1186" spans="1:17" x14ac:dyDescent="0.25">
      <c r="A1186" s="1" t="s">
        <v>395</v>
      </c>
      <c r="B1186" s="31">
        <v>63</v>
      </c>
      <c r="C1186" s="1" t="s">
        <v>20</v>
      </c>
      <c r="D1186" s="2">
        <v>42795</v>
      </c>
      <c r="E1186" s="2">
        <v>42795</v>
      </c>
      <c r="F1186" s="17">
        <v>2000000</v>
      </c>
      <c r="G1186" s="17">
        <v>31746.03</v>
      </c>
      <c r="H1186" s="1"/>
      <c r="I1186" s="1" t="s">
        <v>21</v>
      </c>
      <c r="J1186" s="1" t="s">
        <v>22</v>
      </c>
      <c r="K1186" s="1" t="s">
        <v>360</v>
      </c>
      <c r="L1186" s="1" t="s">
        <v>359</v>
      </c>
      <c r="M1186" s="1"/>
      <c r="N1186" s="1" t="s">
        <v>370</v>
      </c>
      <c r="O1186" s="31">
        <v>2</v>
      </c>
      <c r="P1186" s="31">
        <v>1</v>
      </c>
      <c r="Q1186" s="32">
        <v>2013</v>
      </c>
    </row>
    <row r="1187" spans="1:17" x14ac:dyDescent="0.25">
      <c r="A1187" s="1" t="s">
        <v>394</v>
      </c>
      <c r="B1187" s="31">
        <v>43.7</v>
      </c>
      <c r="C1187" s="1" t="s">
        <v>20</v>
      </c>
      <c r="D1187" s="2">
        <v>42675</v>
      </c>
      <c r="E1187" s="2">
        <v>42675</v>
      </c>
      <c r="F1187" s="17">
        <v>1392000</v>
      </c>
      <c r="G1187" s="17">
        <v>31853.55</v>
      </c>
      <c r="H1187" s="1"/>
      <c r="I1187" s="1" t="s">
        <v>21</v>
      </c>
      <c r="J1187" s="1" t="s">
        <v>22</v>
      </c>
      <c r="K1187" s="1" t="s">
        <v>360</v>
      </c>
      <c r="L1187" s="1" t="s">
        <v>359</v>
      </c>
      <c r="M1187" s="1"/>
      <c r="N1187" s="1" t="s">
        <v>393</v>
      </c>
      <c r="O1187" s="31">
        <v>2</v>
      </c>
      <c r="P1187" s="31">
        <v>1</v>
      </c>
      <c r="Q1187" s="32">
        <v>2000</v>
      </c>
    </row>
    <row r="1188" spans="1:17" x14ac:dyDescent="0.25">
      <c r="A1188" s="1" t="s">
        <v>367</v>
      </c>
      <c r="B1188" s="31">
        <v>32.6</v>
      </c>
      <c r="C1188" s="1" t="s">
        <v>20</v>
      </c>
      <c r="D1188" s="2">
        <v>42675</v>
      </c>
      <c r="E1188" s="2">
        <v>42675</v>
      </c>
      <c r="F1188" s="17">
        <v>1040000</v>
      </c>
      <c r="G1188" s="17">
        <v>31901.84</v>
      </c>
      <c r="H1188" s="1"/>
      <c r="I1188" s="1" t="s">
        <v>21</v>
      </c>
      <c r="J1188" s="1" t="s">
        <v>22</v>
      </c>
      <c r="K1188" s="1" t="s">
        <v>360</v>
      </c>
      <c r="L1188" s="1" t="s">
        <v>359</v>
      </c>
      <c r="M1188" s="1"/>
      <c r="N1188" s="1" t="s">
        <v>363</v>
      </c>
      <c r="O1188" s="31">
        <v>2</v>
      </c>
      <c r="P1188" s="31">
        <v>1</v>
      </c>
      <c r="Q1188" s="32">
        <v>2000</v>
      </c>
    </row>
    <row r="1189" spans="1:17" x14ac:dyDescent="0.25">
      <c r="A1189" s="1" t="s">
        <v>394</v>
      </c>
      <c r="B1189" s="31">
        <v>45.2</v>
      </c>
      <c r="C1189" s="1" t="s">
        <v>20</v>
      </c>
      <c r="D1189" s="2">
        <v>42736</v>
      </c>
      <c r="E1189" s="2">
        <v>42736</v>
      </c>
      <c r="F1189" s="17">
        <v>1450000</v>
      </c>
      <c r="G1189" s="17">
        <v>32079.65</v>
      </c>
      <c r="H1189" s="1"/>
      <c r="I1189" s="1" t="s">
        <v>21</v>
      </c>
      <c r="J1189" s="1" t="s">
        <v>22</v>
      </c>
      <c r="K1189" s="1" t="s">
        <v>360</v>
      </c>
      <c r="L1189" s="1" t="s">
        <v>359</v>
      </c>
      <c r="M1189" s="1"/>
      <c r="N1189" s="1" t="s">
        <v>393</v>
      </c>
      <c r="O1189" s="31">
        <v>2</v>
      </c>
      <c r="P1189" s="31">
        <v>1</v>
      </c>
      <c r="Q1189" s="32">
        <v>2004</v>
      </c>
    </row>
    <row r="1190" spans="1:17" x14ac:dyDescent="0.25">
      <c r="A1190" s="1" t="s">
        <v>362</v>
      </c>
      <c r="B1190" s="31">
        <v>28.9</v>
      </c>
      <c r="C1190" s="1" t="s">
        <v>20</v>
      </c>
      <c r="D1190" s="2">
        <v>42675</v>
      </c>
      <c r="E1190" s="2">
        <v>42675</v>
      </c>
      <c r="F1190" s="17">
        <v>930000</v>
      </c>
      <c r="G1190" s="17">
        <v>32179.93</v>
      </c>
      <c r="H1190" s="1"/>
      <c r="I1190" s="1" t="s">
        <v>21</v>
      </c>
      <c r="J1190" s="1" t="s">
        <v>22</v>
      </c>
      <c r="K1190" s="1" t="s">
        <v>360</v>
      </c>
      <c r="L1190" s="1" t="s">
        <v>359</v>
      </c>
      <c r="M1190" s="1"/>
      <c r="N1190" s="1" t="s">
        <v>299</v>
      </c>
      <c r="O1190" s="31">
        <v>1</v>
      </c>
      <c r="P1190" s="31">
        <v>1</v>
      </c>
      <c r="Q1190" s="32">
        <v>2001</v>
      </c>
    </row>
    <row r="1191" spans="1:17" x14ac:dyDescent="0.25">
      <c r="A1191" s="1" t="s">
        <v>378</v>
      </c>
      <c r="B1191" s="31">
        <v>36.799999999999997</v>
      </c>
      <c r="C1191" s="1" t="s">
        <v>20</v>
      </c>
      <c r="D1191" s="2">
        <v>42767</v>
      </c>
      <c r="E1191" s="2">
        <v>42767</v>
      </c>
      <c r="F1191" s="17">
        <v>1187000</v>
      </c>
      <c r="G1191" s="17">
        <v>32255.43</v>
      </c>
      <c r="H1191" s="1"/>
      <c r="I1191" s="1" t="s">
        <v>21</v>
      </c>
      <c r="J1191" s="1" t="s">
        <v>22</v>
      </c>
      <c r="K1191" s="1" t="s">
        <v>360</v>
      </c>
      <c r="L1191" s="1" t="s">
        <v>359</v>
      </c>
      <c r="M1191" s="1"/>
      <c r="N1191" s="1" t="s">
        <v>379</v>
      </c>
      <c r="O1191" s="31">
        <v>4</v>
      </c>
      <c r="P1191" s="31">
        <v>2</v>
      </c>
      <c r="Q1191" s="32">
        <v>2007</v>
      </c>
    </row>
    <row r="1192" spans="1:17" x14ac:dyDescent="0.25">
      <c r="A1192" s="1" t="s">
        <v>378</v>
      </c>
      <c r="B1192" s="31">
        <v>36.799999999999997</v>
      </c>
      <c r="C1192" s="1" t="s">
        <v>20</v>
      </c>
      <c r="D1192" s="2">
        <v>42767</v>
      </c>
      <c r="E1192" s="2">
        <v>42767</v>
      </c>
      <c r="F1192" s="17">
        <v>1187000</v>
      </c>
      <c r="G1192" s="17">
        <v>32255.43</v>
      </c>
      <c r="H1192" s="1"/>
      <c r="I1192" s="1" t="s">
        <v>21</v>
      </c>
      <c r="J1192" s="1" t="s">
        <v>22</v>
      </c>
      <c r="K1192" s="1" t="s">
        <v>360</v>
      </c>
      <c r="L1192" s="1" t="s">
        <v>359</v>
      </c>
      <c r="M1192" s="1"/>
      <c r="N1192" s="1" t="s">
        <v>379</v>
      </c>
      <c r="O1192" s="31">
        <v>4</v>
      </c>
      <c r="P1192" s="31">
        <v>2</v>
      </c>
      <c r="Q1192" s="32">
        <v>2007</v>
      </c>
    </row>
    <row r="1193" spans="1:17" x14ac:dyDescent="0.25">
      <c r="A1193" s="1" t="s">
        <v>366</v>
      </c>
      <c r="B1193" s="31">
        <v>44.6</v>
      </c>
      <c r="C1193" s="1" t="s">
        <v>20</v>
      </c>
      <c r="D1193" s="2">
        <v>42705</v>
      </c>
      <c r="E1193" s="2">
        <v>42705</v>
      </c>
      <c r="F1193" s="17">
        <v>1440000</v>
      </c>
      <c r="G1193" s="17">
        <v>32287</v>
      </c>
      <c r="H1193" s="1"/>
      <c r="I1193" s="1" t="s">
        <v>21</v>
      </c>
      <c r="J1193" s="1" t="s">
        <v>22</v>
      </c>
      <c r="K1193" s="1" t="s">
        <v>360</v>
      </c>
      <c r="L1193" s="1" t="s">
        <v>359</v>
      </c>
      <c r="M1193" s="1"/>
      <c r="N1193" s="1" t="s">
        <v>386</v>
      </c>
      <c r="O1193" s="31">
        <v>4</v>
      </c>
      <c r="P1193" s="31">
        <v>1</v>
      </c>
      <c r="Q1193" s="32">
        <v>2004</v>
      </c>
    </row>
    <row r="1194" spans="1:17" x14ac:dyDescent="0.25">
      <c r="A1194" s="1" t="s">
        <v>378</v>
      </c>
      <c r="B1194" s="31">
        <v>48</v>
      </c>
      <c r="C1194" s="1" t="s">
        <v>20</v>
      </c>
      <c r="D1194" s="2">
        <v>42705</v>
      </c>
      <c r="E1194" s="2">
        <v>42705</v>
      </c>
      <c r="F1194" s="17">
        <v>1565000</v>
      </c>
      <c r="G1194" s="17">
        <v>32604.17</v>
      </c>
      <c r="H1194" s="1"/>
      <c r="I1194" s="1" t="s">
        <v>21</v>
      </c>
      <c r="J1194" s="1" t="s">
        <v>22</v>
      </c>
      <c r="K1194" s="1" t="s">
        <v>360</v>
      </c>
      <c r="L1194" s="1" t="s">
        <v>359</v>
      </c>
      <c r="M1194" s="1"/>
      <c r="N1194" s="1" t="s">
        <v>299</v>
      </c>
      <c r="O1194" s="31">
        <v>4</v>
      </c>
      <c r="P1194" s="31">
        <v>1</v>
      </c>
      <c r="Q1194" s="32">
        <v>2015</v>
      </c>
    </row>
    <row r="1195" spans="1:17" x14ac:dyDescent="0.25">
      <c r="A1195" s="1" t="s">
        <v>399</v>
      </c>
      <c r="B1195" s="31">
        <v>41.3</v>
      </c>
      <c r="C1195" s="1" t="s">
        <v>20</v>
      </c>
      <c r="D1195" s="2">
        <v>42795</v>
      </c>
      <c r="E1195" s="2">
        <v>42795</v>
      </c>
      <c r="F1195" s="17">
        <v>1350000</v>
      </c>
      <c r="G1195" s="17">
        <v>32687.65</v>
      </c>
      <c r="H1195" s="1"/>
      <c r="I1195" s="1" t="s">
        <v>21</v>
      </c>
      <c r="J1195" s="1" t="s">
        <v>22</v>
      </c>
      <c r="K1195" s="1" t="s">
        <v>360</v>
      </c>
      <c r="L1195" s="1" t="s">
        <v>359</v>
      </c>
      <c r="M1195" s="1"/>
      <c r="N1195" s="1" t="s">
        <v>416</v>
      </c>
      <c r="O1195" s="31">
        <v>1</v>
      </c>
      <c r="P1195" s="31">
        <v>1</v>
      </c>
      <c r="Q1195" s="32">
        <v>2001</v>
      </c>
    </row>
    <row r="1196" spans="1:17" x14ac:dyDescent="0.25">
      <c r="A1196" s="1" t="s">
        <v>362</v>
      </c>
      <c r="B1196" s="31">
        <v>48.9</v>
      </c>
      <c r="C1196" s="1" t="s">
        <v>20</v>
      </c>
      <c r="D1196" s="2">
        <v>42675</v>
      </c>
      <c r="E1196" s="2">
        <v>42675</v>
      </c>
      <c r="F1196" s="17">
        <v>1600000</v>
      </c>
      <c r="G1196" s="17">
        <v>32719.84</v>
      </c>
      <c r="H1196" s="1"/>
      <c r="I1196" s="1" t="s">
        <v>21</v>
      </c>
      <c r="J1196" s="1" t="s">
        <v>22</v>
      </c>
      <c r="K1196" s="1" t="s">
        <v>360</v>
      </c>
      <c r="L1196" s="1" t="s">
        <v>359</v>
      </c>
      <c r="M1196" s="1"/>
      <c r="N1196" s="1" t="s">
        <v>363</v>
      </c>
      <c r="O1196" s="31">
        <v>5</v>
      </c>
      <c r="P1196" s="31">
        <v>1</v>
      </c>
      <c r="Q1196" s="32">
        <v>2004</v>
      </c>
    </row>
    <row r="1197" spans="1:17" x14ac:dyDescent="0.25">
      <c r="A1197" s="1" t="s">
        <v>367</v>
      </c>
      <c r="B1197" s="31">
        <v>39.700000000000003</v>
      </c>
      <c r="C1197" s="1" t="s">
        <v>20</v>
      </c>
      <c r="D1197" s="2">
        <v>42736</v>
      </c>
      <c r="E1197" s="2">
        <v>42767</v>
      </c>
      <c r="F1197" s="17">
        <v>1300000</v>
      </c>
      <c r="G1197" s="17">
        <v>32745.59</v>
      </c>
      <c r="H1197" s="1"/>
      <c r="I1197" s="1" t="s">
        <v>21</v>
      </c>
      <c r="J1197" s="1" t="s">
        <v>22</v>
      </c>
      <c r="K1197" s="1" t="s">
        <v>360</v>
      </c>
      <c r="L1197" s="1" t="s">
        <v>359</v>
      </c>
      <c r="M1197" s="1"/>
      <c r="N1197" s="1" t="s">
        <v>363</v>
      </c>
      <c r="O1197" s="31">
        <v>3</v>
      </c>
      <c r="P1197" s="31">
        <v>2</v>
      </c>
      <c r="Q1197" s="32">
        <v>2009</v>
      </c>
    </row>
    <row r="1198" spans="1:17" x14ac:dyDescent="0.25">
      <c r="A1198" s="1" t="s">
        <v>367</v>
      </c>
      <c r="B1198" s="31">
        <v>39.700000000000003</v>
      </c>
      <c r="C1198" s="1" t="s">
        <v>20</v>
      </c>
      <c r="D1198" s="2">
        <v>42736</v>
      </c>
      <c r="E1198" s="2">
        <v>42767</v>
      </c>
      <c r="F1198" s="17">
        <v>1300000</v>
      </c>
      <c r="G1198" s="17">
        <v>32745.59</v>
      </c>
      <c r="H1198" s="1"/>
      <c r="I1198" s="1" t="s">
        <v>21</v>
      </c>
      <c r="J1198" s="1" t="s">
        <v>22</v>
      </c>
      <c r="K1198" s="1" t="s">
        <v>360</v>
      </c>
      <c r="L1198" s="1" t="s">
        <v>359</v>
      </c>
      <c r="M1198" s="1"/>
      <c r="N1198" s="1" t="s">
        <v>363</v>
      </c>
      <c r="O1198" s="31">
        <v>3</v>
      </c>
      <c r="P1198" s="31">
        <v>2</v>
      </c>
      <c r="Q1198" s="32">
        <v>2009</v>
      </c>
    </row>
    <row r="1199" spans="1:17" x14ac:dyDescent="0.25">
      <c r="A1199" s="1" t="s">
        <v>391</v>
      </c>
      <c r="B1199" s="31">
        <v>50.3</v>
      </c>
      <c r="C1199" s="1" t="s">
        <v>20</v>
      </c>
      <c r="D1199" s="2">
        <v>42705</v>
      </c>
      <c r="E1199" s="2">
        <v>42705</v>
      </c>
      <c r="F1199" s="17">
        <v>1650000</v>
      </c>
      <c r="G1199" s="17">
        <v>32803.18</v>
      </c>
      <c r="H1199" s="1"/>
      <c r="I1199" s="1" t="s">
        <v>21</v>
      </c>
      <c r="J1199" s="1" t="s">
        <v>22</v>
      </c>
      <c r="K1199" s="1" t="s">
        <v>360</v>
      </c>
      <c r="L1199" s="1" t="s">
        <v>359</v>
      </c>
      <c r="M1199" s="1"/>
      <c r="N1199" s="1" t="s">
        <v>234</v>
      </c>
      <c r="O1199" s="31">
        <v>2</v>
      </c>
      <c r="P1199" s="31">
        <v>1</v>
      </c>
      <c r="Q1199" s="32">
        <v>2002</v>
      </c>
    </row>
    <row r="1200" spans="1:17" x14ac:dyDescent="0.25">
      <c r="A1200" s="1" t="s">
        <v>402</v>
      </c>
      <c r="B1200" s="31">
        <v>59.7</v>
      </c>
      <c r="C1200" s="1" t="s">
        <v>20</v>
      </c>
      <c r="D1200" s="2">
        <v>42795</v>
      </c>
      <c r="E1200" s="2">
        <v>42795</v>
      </c>
      <c r="F1200" s="17">
        <v>1960000</v>
      </c>
      <c r="G1200" s="17">
        <v>32830.82</v>
      </c>
      <c r="H1200" s="1"/>
      <c r="I1200" s="1" t="s">
        <v>21</v>
      </c>
      <c r="J1200" s="1" t="s">
        <v>22</v>
      </c>
      <c r="K1200" s="1" t="s">
        <v>360</v>
      </c>
      <c r="L1200" s="1" t="s">
        <v>359</v>
      </c>
      <c r="M1200" s="1"/>
      <c r="N1200" s="1" t="s">
        <v>299</v>
      </c>
      <c r="O1200" s="31">
        <v>4</v>
      </c>
      <c r="P1200" s="31">
        <v>1</v>
      </c>
      <c r="Q1200" s="32">
        <v>2016</v>
      </c>
    </row>
    <row r="1201" spans="1:17" x14ac:dyDescent="0.25">
      <c r="A1201" s="1" t="s">
        <v>411</v>
      </c>
      <c r="B1201" s="31">
        <v>41.9</v>
      </c>
      <c r="C1201" s="1" t="s">
        <v>20</v>
      </c>
      <c r="D1201" s="2">
        <v>42736</v>
      </c>
      <c r="E1201" s="2">
        <v>42736</v>
      </c>
      <c r="F1201" s="17">
        <v>1380000</v>
      </c>
      <c r="G1201" s="17">
        <v>32935.56</v>
      </c>
      <c r="H1201" s="1"/>
      <c r="I1201" s="1" t="s">
        <v>21</v>
      </c>
      <c r="J1201" s="1" t="s">
        <v>22</v>
      </c>
      <c r="K1201" s="1" t="s">
        <v>360</v>
      </c>
      <c r="L1201" s="1" t="s">
        <v>359</v>
      </c>
      <c r="M1201" s="1"/>
      <c r="N1201" s="1" t="s">
        <v>153</v>
      </c>
      <c r="O1201" s="31">
        <v>1</v>
      </c>
      <c r="P1201" s="31">
        <v>2</v>
      </c>
      <c r="Q1201" s="32">
        <v>2013</v>
      </c>
    </row>
    <row r="1202" spans="1:17" x14ac:dyDescent="0.25">
      <c r="A1202" s="1" t="s">
        <v>411</v>
      </c>
      <c r="B1202" s="31">
        <v>41.9</v>
      </c>
      <c r="C1202" s="1" t="s">
        <v>20</v>
      </c>
      <c r="D1202" s="2">
        <v>42736</v>
      </c>
      <c r="E1202" s="2">
        <v>42736</v>
      </c>
      <c r="F1202" s="17">
        <v>1380000</v>
      </c>
      <c r="G1202" s="17">
        <v>32935.56</v>
      </c>
      <c r="H1202" s="1"/>
      <c r="I1202" s="1" t="s">
        <v>21</v>
      </c>
      <c r="J1202" s="1" t="s">
        <v>22</v>
      </c>
      <c r="K1202" s="1" t="s">
        <v>360</v>
      </c>
      <c r="L1202" s="1" t="s">
        <v>359</v>
      </c>
      <c r="M1202" s="1"/>
      <c r="N1202" s="1" t="s">
        <v>153</v>
      </c>
      <c r="O1202" s="31">
        <v>1</v>
      </c>
      <c r="P1202" s="31">
        <v>2</v>
      </c>
      <c r="Q1202" s="32">
        <v>2013</v>
      </c>
    </row>
    <row r="1203" spans="1:17" x14ac:dyDescent="0.25">
      <c r="A1203" s="1" t="s">
        <v>384</v>
      </c>
      <c r="B1203" s="31">
        <v>43.6</v>
      </c>
      <c r="C1203" s="1" t="s">
        <v>20</v>
      </c>
      <c r="D1203" s="2">
        <v>42705</v>
      </c>
      <c r="E1203" s="2">
        <v>42705</v>
      </c>
      <c r="F1203" s="17">
        <v>1440000</v>
      </c>
      <c r="G1203" s="17">
        <v>33027.519999999997</v>
      </c>
      <c r="H1203" s="1"/>
      <c r="I1203" s="1" t="s">
        <v>21</v>
      </c>
      <c r="J1203" s="1" t="s">
        <v>22</v>
      </c>
      <c r="K1203" s="1" t="s">
        <v>360</v>
      </c>
      <c r="L1203" s="1" t="s">
        <v>359</v>
      </c>
      <c r="M1203" s="1"/>
      <c r="N1203" s="1" t="s">
        <v>336</v>
      </c>
      <c r="O1203" s="31">
        <v>1</v>
      </c>
      <c r="P1203" s="31">
        <v>1</v>
      </c>
      <c r="Q1203" s="32">
        <v>2005</v>
      </c>
    </row>
    <row r="1204" spans="1:17" x14ac:dyDescent="0.25">
      <c r="A1204" s="1" t="s">
        <v>367</v>
      </c>
      <c r="B1204" s="31">
        <v>72</v>
      </c>
      <c r="C1204" s="1" t="s">
        <v>20</v>
      </c>
      <c r="D1204" s="2">
        <v>42767</v>
      </c>
      <c r="E1204" s="2">
        <v>42767</v>
      </c>
      <c r="F1204" s="17">
        <v>2380000</v>
      </c>
      <c r="G1204" s="17">
        <v>33055.56</v>
      </c>
      <c r="H1204" s="1"/>
      <c r="I1204" s="1" t="s">
        <v>21</v>
      </c>
      <c r="J1204" s="1" t="s">
        <v>22</v>
      </c>
      <c r="K1204" s="1" t="s">
        <v>360</v>
      </c>
      <c r="L1204" s="1" t="s">
        <v>359</v>
      </c>
      <c r="M1204" s="1"/>
      <c r="N1204" s="1" t="s">
        <v>363</v>
      </c>
      <c r="O1204" s="31">
        <v>8</v>
      </c>
      <c r="P1204" s="31">
        <v>2</v>
      </c>
      <c r="Q1204" s="32">
        <v>2016</v>
      </c>
    </row>
    <row r="1205" spans="1:17" x14ac:dyDescent="0.25">
      <c r="A1205" s="1" t="s">
        <v>367</v>
      </c>
      <c r="B1205" s="31">
        <v>72</v>
      </c>
      <c r="C1205" s="1" t="s">
        <v>20</v>
      </c>
      <c r="D1205" s="2">
        <v>42767</v>
      </c>
      <c r="E1205" s="2">
        <v>42767</v>
      </c>
      <c r="F1205" s="17">
        <v>2380000</v>
      </c>
      <c r="G1205" s="17">
        <v>33055.56</v>
      </c>
      <c r="H1205" s="1"/>
      <c r="I1205" s="1" t="s">
        <v>21</v>
      </c>
      <c r="J1205" s="1" t="s">
        <v>22</v>
      </c>
      <c r="K1205" s="1" t="s">
        <v>360</v>
      </c>
      <c r="L1205" s="1" t="s">
        <v>359</v>
      </c>
      <c r="M1205" s="1"/>
      <c r="N1205" s="1" t="s">
        <v>363</v>
      </c>
      <c r="O1205" s="31">
        <v>8</v>
      </c>
      <c r="P1205" s="31">
        <v>2</v>
      </c>
      <c r="Q1205" s="32">
        <v>2016</v>
      </c>
    </row>
    <row r="1206" spans="1:17" x14ac:dyDescent="0.25">
      <c r="A1206" s="1" t="s">
        <v>406</v>
      </c>
      <c r="B1206" s="31">
        <v>78.400000000000006</v>
      </c>
      <c r="C1206" s="1" t="s">
        <v>20</v>
      </c>
      <c r="D1206" s="2">
        <v>42795</v>
      </c>
      <c r="E1206" s="2">
        <v>42795</v>
      </c>
      <c r="F1206" s="17">
        <v>2600000</v>
      </c>
      <c r="G1206" s="17">
        <v>33163.269999999997</v>
      </c>
      <c r="H1206" s="1"/>
      <c r="I1206" s="1" t="s">
        <v>21</v>
      </c>
      <c r="J1206" s="1" t="s">
        <v>22</v>
      </c>
      <c r="K1206" s="1" t="s">
        <v>360</v>
      </c>
      <c r="L1206" s="1" t="s">
        <v>359</v>
      </c>
      <c r="M1206" s="1"/>
      <c r="N1206" s="1" t="s">
        <v>166</v>
      </c>
      <c r="O1206" s="31">
        <v>5</v>
      </c>
      <c r="P1206" s="31">
        <v>1</v>
      </c>
      <c r="Q1206" s="32">
        <v>2012</v>
      </c>
    </row>
    <row r="1207" spans="1:17" x14ac:dyDescent="0.25">
      <c r="A1207" s="1" t="s">
        <v>404</v>
      </c>
      <c r="B1207" s="31">
        <v>41.8</v>
      </c>
      <c r="C1207" s="1" t="s">
        <v>20</v>
      </c>
      <c r="D1207" s="2">
        <v>42705</v>
      </c>
      <c r="E1207" s="2">
        <v>42705</v>
      </c>
      <c r="F1207" s="17">
        <v>1400000</v>
      </c>
      <c r="G1207" s="17">
        <v>33492.82</v>
      </c>
      <c r="H1207" s="1"/>
      <c r="I1207" s="1" t="s">
        <v>21</v>
      </c>
      <c r="J1207" s="1" t="s">
        <v>22</v>
      </c>
      <c r="K1207" s="1" t="s">
        <v>360</v>
      </c>
      <c r="L1207" s="1" t="s">
        <v>359</v>
      </c>
      <c r="M1207" s="1"/>
      <c r="N1207" s="1" t="s">
        <v>405</v>
      </c>
      <c r="O1207" s="31">
        <v>1</v>
      </c>
      <c r="P1207" s="31">
        <v>2</v>
      </c>
      <c r="Q1207" s="32">
        <v>2006</v>
      </c>
    </row>
    <row r="1208" spans="1:17" x14ac:dyDescent="0.25">
      <c r="A1208" s="1" t="s">
        <v>404</v>
      </c>
      <c r="B1208" s="31">
        <v>41.8</v>
      </c>
      <c r="C1208" s="1" t="s">
        <v>20</v>
      </c>
      <c r="D1208" s="2">
        <v>42705</v>
      </c>
      <c r="E1208" s="2">
        <v>42705</v>
      </c>
      <c r="F1208" s="17">
        <v>1400000</v>
      </c>
      <c r="G1208" s="17">
        <v>33492.82</v>
      </c>
      <c r="H1208" s="1"/>
      <c r="I1208" s="1" t="s">
        <v>21</v>
      </c>
      <c r="J1208" s="1" t="s">
        <v>22</v>
      </c>
      <c r="K1208" s="1" t="s">
        <v>360</v>
      </c>
      <c r="L1208" s="1" t="s">
        <v>359</v>
      </c>
      <c r="M1208" s="1"/>
      <c r="N1208" s="1" t="s">
        <v>405</v>
      </c>
      <c r="O1208" s="31">
        <v>1</v>
      </c>
      <c r="P1208" s="31">
        <v>2</v>
      </c>
      <c r="Q1208" s="32">
        <v>2006</v>
      </c>
    </row>
    <row r="1209" spans="1:17" x14ac:dyDescent="0.25">
      <c r="A1209" s="1" t="s">
        <v>389</v>
      </c>
      <c r="B1209" s="31">
        <v>60.2</v>
      </c>
      <c r="C1209" s="1" t="s">
        <v>20</v>
      </c>
      <c r="D1209" s="2">
        <v>42705</v>
      </c>
      <c r="E1209" s="2">
        <v>42705</v>
      </c>
      <c r="F1209" s="17">
        <v>2020000</v>
      </c>
      <c r="G1209" s="17">
        <v>33554.82</v>
      </c>
      <c r="H1209" s="1"/>
      <c r="I1209" s="1" t="s">
        <v>21</v>
      </c>
      <c r="J1209" s="1" t="s">
        <v>22</v>
      </c>
      <c r="K1209" s="1" t="s">
        <v>360</v>
      </c>
      <c r="L1209" s="1" t="s">
        <v>359</v>
      </c>
      <c r="M1209" s="1"/>
      <c r="N1209" s="1" t="s">
        <v>153</v>
      </c>
      <c r="O1209" s="31">
        <v>2</v>
      </c>
      <c r="P1209" s="31">
        <v>1</v>
      </c>
      <c r="Q1209" s="32">
        <v>2011</v>
      </c>
    </row>
    <row r="1210" spans="1:17" x14ac:dyDescent="0.25">
      <c r="A1210" s="1" t="s">
        <v>389</v>
      </c>
      <c r="B1210" s="31">
        <v>29.8</v>
      </c>
      <c r="C1210" s="1" t="s">
        <v>20</v>
      </c>
      <c r="D1210" s="2">
        <v>42767</v>
      </c>
      <c r="E1210" s="2">
        <v>42767</v>
      </c>
      <c r="F1210" s="17">
        <v>1000000</v>
      </c>
      <c r="G1210" s="17">
        <v>33557.050000000003</v>
      </c>
      <c r="H1210" s="1"/>
      <c r="I1210" s="1" t="s">
        <v>21</v>
      </c>
      <c r="J1210" s="1" t="s">
        <v>22</v>
      </c>
      <c r="K1210" s="1" t="s">
        <v>360</v>
      </c>
      <c r="L1210" s="1" t="s">
        <v>359</v>
      </c>
      <c r="M1210" s="1"/>
      <c r="N1210" s="1" t="s">
        <v>128</v>
      </c>
      <c r="O1210" s="31">
        <v>2</v>
      </c>
      <c r="P1210" s="31">
        <v>1</v>
      </c>
      <c r="Q1210" s="32">
        <v>2012</v>
      </c>
    </row>
    <row r="1211" spans="1:17" x14ac:dyDescent="0.25">
      <c r="A1211" s="1" t="s">
        <v>371</v>
      </c>
      <c r="B1211" s="31">
        <v>40.5</v>
      </c>
      <c r="C1211" s="1" t="s">
        <v>20</v>
      </c>
      <c r="D1211" s="2">
        <v>42644</v>
      </c>
      <c r="E1211" s="2">
        <v>42644</v>
      </c>
      <c r="F1211" s="17">
        <v>1360000</v>
      </c>
      <c r="G1211" s="17">
        <v>33580.25</v>
      </c>
      <c r="H1211" s="1"/>
      <c r="I1211" s="1" t="s">
        <v>21</v>
      </c>
      <c r="J1211" s="1" t="s">
        <v>22</v>
      </c>
      <c r="K1211" s="1" t="s">
        <v>360</v>
      </c>
      <c r="L1211" s="1" t="s">
        <v>359</v>
      </c>
      <c r="M1211" s="1"/>
      <c r="N1211" s="1" t="s">
        <v>372</v>
      </c>
      <c r="O1211" s="31">
        <v>6</v>
      </c>
      <c r="P1211" s="31">
        <v>1</v>
      </c>
      <c r="Q1211" s="32">
        <v>2010</v>
      </c>
    </row>
    <row r="1212" spans="1:17" x14ac:dyDescent="0.25">
      <c r="A1212" s="1" t="s">
        <v>364</v>
      </c>
      <c r="B1212" s="31">
        <v>35.700000000000003</v>
      </c>
      <c r="C1212" s="1" t="s">
        <v>20</v>
      </c>
      <c r="D1212" s="2">
        <v>42767</v>
      </c>
      <c r="E1212" s="2">
        <v>42767</v>
      </c>
      <c r="F1212" s="17">
        <v>1200000</v>
      </c>
      <c r="G1212" s="17">
        <v>33613.449999999997</v>
      </c>
      <c r="H1212" s="1"/>
      <c r="I1212" s="1" t="s">
        <v>21</v>
      </c>
      <c r="J1212" s="1" t="s">
        <v>22</v>
      </c>
      <c r="K1212" s="1" t="s">
        <v>360</v>
      </c>
      <c r="L1212" s="1" t="s">
        <v>359</v>
      </c>
      <c r="M1212" s="1"/>
      <c r="N1212" s="1" t="s">
        <v>336</v>
      </c>
      <c r="O1212" s="31">
        <v>4</v>
      </c>
      <c r="P1212" s="31">
        <v>1</v>
      </c>
      <c r="Q1212" s="32">
        <v>2002</v>
      </c>
    </row>
    <row r="1213" spans="1:17" x14ac:dyDescent="0.25">
      <c r="A1213" s="1" t="s">
        <v>364</v>
      </c>
      <c r="B1213" s="31">
        <v>56.8</v>
      </c>
      <c r="C1213" s="1" t="s">
        <v>20</v>
      </c>
      <c r="D1213" s="2">
        <v>42705</v>
      </c>
      <c r="E1213" s="2">
        <v>42705</v>
      </c>
      <c r="F1213" s="17">
        <v>1920000</v>
      </c>
      <c r="G1213" s="17">
        <v>33802.82</v>
      </c>
      <c r="H1213" s="1"/>
      <c r="I1213" s="1" t="s">
        <v>21</v>
      </c>
      <c r="J1213" s="1" t="s">
        <v>22</v>
      </c>
      <c r="K1213" s="1" t="s">
        <v>360</v>
      </c>
      <c r="L1213" s="1" t="s">
        <v>359</v>
      </c>
      <c r="M1213" s="1"/>
      <c r="N1213" s="1"/>
      <c r="O1213" s="31">
        <v>7</v>
      </c>
      <c r="P1213" s="31">
        <v>2</v>
      </c>
      <c r="Q1213" s="32">
        <v>2015</v>
      </c>
    </row>
    <row r="1214" spans="1:17" x14ac:dyDescent="0.25">
      <c r="A1214" s="1" t="s">
        <v>364</v>
      </c>
      <c r="B1214" s="31">
        <v>56.8</v>
      </c>
      <c r="C1214" s="1" t="s">
        <v>20</v>
      </c>
      <c r="D1214" s="2">
        <v>42705</v>
      </c>
      <c r="E1214" s="2">
        <v>42705</v>
      </c>
      <c r="F1214" s="17">
        <v>1920000</v>
      </c>
      <c r="G1214" s="17">
        <v>33802.82</v>
      </c>
      <c r="H1214" s="1"/>
      <c r="I1214" s="1" t="s">
        <v>21</v>
      </c>
      <c r="J1214" s="1" t="s">
        <v>22</v>
      </c>
      <c r="K1214" s="1" t="s">
        <v>360</v>
      </c>
      <c r="L1214" s="1" t="s">
        <v>359</v>
      </c>
      <c r="M1214" s="1"/>
      <c r="N1214" s="1"/>
      <c r="O1214" s="31">
        <v>7</v>
      </c>
      <c r="P1214" s="31">
        <v>2</v>
      </c>
      <c r="Q1214" s="32">
        <v>2015</v>
      </c>
    </row>
    <row r="1215" spans="1:17" x14ac:dyDescent="0.25">
      <c r="A1215" s="1" t="s">
        <v>362</v>
      </c>
      <c r="B1215" s="31">
        <v>42.5</v>
      </c>
      <c r="C1215" s="1" t="s">
        <v>20</v>
      </c>
      <c r="D1215" s="2">
        <v>42675</v>
      </c>
      <c r="E1215" s="2">
        <v>42705</v>
      </c>
      <c r="F1215" s="17">
        <v>1440000</v>
      </c>
      <c r="G1215" s="17">
        <v>33882.35</v>
      </c>
      <c r="H1215" s="1"/>
      <c r="I1215" s="1" t="s">
        <v>21</v>
      </c>
      <c r="J1215" s="1" t="s">
        <v>22</v>
      </c>
      <c r="K1215" s="1" t="s">
        <v>360</v>
      </c>
      <c r="L1215" s="1" t="s">
        <v>359</v>
      </c>
      <c r="M1215" s="1"/>
      <c r="N1215" s="1" t="s">
        <v>299</v>
      </c>
      <c r="O1215" s="31">
        <v>9</v>
      </c>
      <c r="P1215" s="31">
        <v>1</v>
      </c>
      <c r="Q1215" s="32">
        <v>2008</v>
      </c>
    </row>
    <row r="1216" spans="1:17" x14ac:dyDescent="0.25">
      <c r="A1216" s="1" t="s">
        <v>389</v>
      </c>
      <c r="B1216" s="31">
        <v>49.8</v>
      </c>
      <c r="C1216" s="1" t="s">
        <v>20</v>
      </c>
      <c r="D1216" s="2">
        <v>42767</v>
      </c>
      <c r="E1216" s="2">
        <v>42767</v>
      </c>
      <c r="F1216" s="17">
        <v>1690000</v>
      </c>
      <c r="G1216" s="17">
        <v>33935.74</v>
      </c>
      <c r="H1216" s="1"/>
      <c r="I1216" s="1" t="s">
        <v>21</v>
      </c>
      <c r="J1216" s="1" t="s">
        <v>22</v>
      </c>
      <c r="K1216" s="1" t="s">
        <v>360</v>
      </c>
      <c r="L1216" s="1" t="s">
        <v>359</v>
      </c>
      <c r="M1216" s="1"/>
      <c r="N1216" s="1" t="s">
        <v>128</v>
      </c>
      <c r="O1216" s="31">
        <v>3</v>
      </c>
      <c r="P1216" s="31">
        <v>1</v>
      </c>
      <c r="Q1216" s="32">
        <v>2012</v>
      </c>
    </row>
    <row r="1217" spans="1:17" x14ac:dyDescent="0.25">
      <c r="A1217" s="1" t="s">
        <v>401</v>
      </c>
      <c r="B1217" s="31">
        <v>51</v>
      </c>
      <c r="C1217" s="1" t="s">
        <v>20</v>
      </c>
      <c r="D1217" s="2">
        <v>42675</v>
      </c>
      <c r="E1217" s="2">
        <v>42675</v>
      </c>
      <c r="F1217" s="17">
        <v>1734000</v>
      </c>
      <c r="G1217" s="17">
        <v>34000</v>
      </c>
      <c r="H1217" s="1"/>
      <c r="I1217" s="1" t="s">
        <v>21</v>
      </c>
      <c r="J1217" s="1" t="s">
        <v>22</v>
      </c>
      <c r="K1217" s="1" t="s">
        <v>360</v>
      </c>
      <c r="L1217" s="1" t="s">
        <v>359</v>
      </c>
      <c r="M1217" s="1"/>
      <c r="N1217" s="1"/>
      <c r="O1217" s="31">
        <v>6</v>
      </c>
      <c r="P1217" s="31">
        <v>1</v>
      </c>
      <c r="Q1217" s="32">
        <v>2016</v>
      </c>
    </row>
    <row r="1218" spans="1:17" x14ac:dyDescent="0.25">
      <c r="A1218" s="1" t="s">
        <v>403</v>
      </c>
      <c r="B1218" s="31">
        <v>43.5</v>
      </c>
      <c r="C1218" s="1" t="s">
        <v>20</v>
      </c>
      <c r="D1218" s="2">
        <v>42705</v>
      </c>
      <c r="E1218" s="2">
        <v>42705</v>
      </c>
      <c r="F1218" s="17">
        <v>1480000</v>
      </c>
      <c r="G1218" s="17">
        <v>34022.99</v>
      </c>
      <c r="H1218" s="1"/>
      <c r="I1218" s="1" t="s">
        <v>21</v>
      </c>
      <c r="J1218" s="1" t="s">
        <v>22</v>
      </c>
      <c r="K1218" s="1" t="s">
        <v>360</v>
      </c>
      <c r="L1218" s="1" t="s">
        <v>359</v>
      </c>
      <c r="M1218" s="1"/>
      <c r="N1218" s="1" t="s">
        <v>377</v>
      </c>
      <c r="O1218" s="31">
        <v>4</v>
      </c>
      <c r="P1218" s="31">
        <v>1</v>
      </c>
      <c r="Q1218" s="32">
        <v>2006</v>
      </c>
    </row>
    <row r="1219" spans="1:17" x14ac:dyDescent="0.25">
      <c r="A1219" s="1" t="s">
        <v>362</v>
      </c>
      <c r="B1219" s="31">
        <v>52.7</v>
      </c>
      <c r="C1219" s="1" t="s">
        <v>20</v>
      </c>
      <c r="D1219" s="2">
        <v>42614</v>
      </c>
      <c r="E1219" s="2">
        <v>42644</v>
      </c>
      <c r="F1219" s="17">
        <v>1800000</v>
      </c>
      <c r="G1219" s="17">
        <v>34155.599999999999</v>
      </c>
      <c r="H1219" s="1"/>
      <c r="I1219" s="1" t="s">
        <v>21</v>
      </c>
      <c r="J1219" s="1" t="s">
        <v>22</v>
      </c>
      <c r="K1219" s="1" t="s">
        <v>360</v>
      </c>
      <c r="L1219" s="1" t="s">
        <v>359</v>
      </c>
      <c r="M1219" s="1"/>
      <c r="N1219" s="1" t="s">
        <v>368</v>
      </c>
      <c r="O1219" s="31">
        <v>2</v>
      </c>
      <c r="P1219" s="31">
        <v>1</v>
      </c>
      <c r="Q1219" s="32">
        <v>2008</v>
      </c>
    </row>
    <row r="1220" spans="1:17" x14ac:dyDescent="0.25">
      <c r="A1220" s="1" t="s">
        <v>364</v>
      </c>
      <c r="B1220" s="31">
        <v>32.200000000000003</v>
      </c>
      <c r="C1220" s="1" t="s">
        <v>20</v>
      </c>
      <c r="D1220" s="2">
        <v>42705</v>
      </c>
      <c r="E1220" s="2">
        <v>42705</v>
      </c>
      <c r="F1220" s="17">
        <v>1100000</v>
      </c>
      <c r="G1220" s="17">
        <v>34161.49</v>
      </c>
      <c r="H1220" s="1"/>
      <c r="I1220" s="1" t="s">
        <v>21</v>
      </c>
      <c r="J1220" s="1" t="s">
        <v>22</v>
      </c>
      <c r="K1220" s="1" t="s">
        <v>360</v>
      </c>
      <c r="L1220" s="1" t="s">
        <v>359</v>
      </c>
      <c r="M1220" s="1"/>
      <c r="N1220" s="1" t="s">
        <v>336</v>
      </c>
      <c r="O1220" s="31">
        <v>1</v>
      </c>
      <c r="P1220" s="31">
        <v>1</v>
      </c>
      <c r="Q1220" s="32">
        <v>2000</v>
      </c>
    </row>
    <row r="1221" spans="1:17" x14ac:dyDescent="0.25">
      <c r="A1221" s="1" t="s">
        <v>384</v>
      </c>
      <c r="B1221" s="31">
        <v>38.9</v>
      </c>
      <c r="C1221" s="1" t="s">
        <v>20</v>
      </c>
      <c r="D1221" s="2">
        <v>42767</v>
      </c>
      <c r="E1221" s="2">
        <v>42795</v>
      </c>
      <c r="F1221" s="17">
        <v>1330000</v>
      </c>
      <c r="G1221" s="17">
        <v>34190.230000000003</v>
      </c>
      <c r="H1221" s="1"/>
      <c r="I1221" s="1" t="s">
        <v>21</v>
      </c>
      <c r="J1221" s="1" t="s">
        <v>22</v>
      </c>
      <c r="K1221" s="1" t="s">
        <v>360</v>
      </c>
      <c r="L1221" s="1" t="s">
        <v>359</v>
      </c>
      <c r="M1221" s="1"/>
      <c r="N1221" s="1" t="s">
        <v>128</v>
      </c>
      <c r="O1221" s="31">
        <v>5</v>
      </c>
      <c r="P1221" s="31">
        <v>2</v>
      </c>
      <c r="Q1221" s="32">
        <v>2000</v>
      </c>
    </row>
    <row r="1222" spans="1:17" x14ac:dyDescent="0.25">
      <c r="A1222" s="1" t="s">
        <v>384</v>
      </c>
      <c r="B1222" s="31">
        <v>38.9</v>
      </c>
      <c r="C1222" s="1" t="s">
        <v>20</v>
      </c>
      <c r="D1222" s="2">
        <v>42767</v>
      </c>
      <c r="E1222" s="2">
        <v>42795</v>
      </c>
      <c r="F1222" s="17">
        <v>1330000</v>
      </c>
      <c r="G1222" s="17">
        <v>34190.230000000003</v>
      </c>
      <c r="H1222" s="1"/>
      <c r="I1222" s="1" t="s">
        <v>21</v>
      </c>
      <c r="J1222" s="1" t="s">
        <v>22</v>
      </c>
      <c r="K1222" s="1" t="s">
        <v>360</v>
      </c>
      <c r="L1222" s="1" t="s">
        <v>359</v>
      </c>
      <c r="M1222" s="1"/>
      <c r="N1222" s="1" t="s">
        <v>128</v>
      </c>
      <c r="O1222" s="31">
        <v>5</v>
      </c>
      <c r="P1222" s="31">
        <v>2</v>
      </c>
      <c r="Q1222" s="32">
        <v>2000</v>
      </c>
    </row>
    <row r="1223" spans="1:17" x14ac:dyDescent="0.25">
      <c r="A1223" s="1" t="s">
        <v>376</v>
      </c>
      <c r="B1223" s="31">
        <v>46.7</v>
      </c>
      <c r="C1223" s="1" t="s">
        <v>20</v>
      </c>
      <c r="D1223" s="2">
        <v>42767</v>
      </c>
      <c r="E1223" s="2">
        <v>42767</v>
      </c>
      <c r="F1223" s="17">
        <v>1600000</v>
      </c>
      <c r="G1223" s="17">
        <v>34261.24</v>
      </c>
      <c r="H1223" s="1"/>
      <c r="I1223" s="1" t="s">
        <v>21</v>
      </c>
      <c r="J1223" s="1" t="s">
        <v>22</v>
      </c>
      <c r="K1223" s="1" t="s">
        <v>360</v>
      </c>
      <c r="L1223" s="1" t="s">
        <v>359</v>
      </c>
      <c r="M1223" s="1"/>
      <c r="N1223" s="1"/>
      <c r="O1223" s="31">
        <v>2</v>
      </c>
      <c r="P1223" s="31">
        <v>2</v>
      </c>
      <c r="Q1223" s="32">
        <v>2010</v>
      </c>
    </row>
    <row r="1224" spans="1:17" x14ac:dyDescent="0.25">
      <c r="A1224" s="1" t="s">
        <v>376</v>
      </c>
      <c r="B1224" s="31">
        <v>46.7</v>
      </c>
      <c r="C1224" s="1" t="s">
        <v>20</v>
      </c>
      <c r="D1224" s="2">
        <v>42767</v>
      </c>
      <c r="E1224" s="2">
        <v>42767</v>
      </c>
      <c r="F1224" s="17">
        <v>1600000</v>
      </c>
      <c r="G1224" s="17">
        <v>34261.24</v>
      </c>
      <c r="H1224" s="1"/>
      <c r="I1224" s="1" t="s">
        <v>21</v>
      </c>
      <c r="J1224" s="1" t="s">
        <v>22</v>
      </c>
      <c r="K1224" s="1" t="s">
        <v>360</v>
      </c>
      <c r="L1224" s="1" t="s">
        <v>359</v>
      </c>
      <c r="M1224" s="1"/>
      <c r="N1224" s="1"/>
      <c r="O1224" s="31">
        <v>2</v>
      </c>
      <c r="P1224" s="31">
        <v>2</v>
      </c>
      <c r="Q1224" s="32">
        <v>2010</v>
      </c>
    </row>
    <row r="1225" spans="1:17" x14ac:dyDescent="0.25">
      <c r="A1225" s="1" t="s">
        <v>378</v>
      </c>
      <c r="B1225" s="31">
        <v>37.9</v>
      </c>
      <c r="C1225" s="1" t="s">
        <v>20</v>
      </c>
      <c r="D1225" s="2">
        <v>42644</v>
      </c>
      <c r="E1225" s="2">
        <v>42644</v>
      </c>
      <c r="F1225" s="17">
        <v>1300000</v>
      </c>
      <c r="G1225" s="17">
        <v>34300.79</v>
      </c>
      <c r="H1225" s="1"/>
      <c r="I1225" s="1" t="s">
        <v>21</v>
      </c>
      <c r="J1225" s="1" t="s">
        <v>32</v>
      </c>
      <c r="K1225" s="1" t="s">
        <v>360</v>
      </c>
      <c r="L1225" s="1" t="s">
        <v>359</v>
      </c>
      <c r="M1225" s="1"/>
      <c r="N1225" s="1" t="s">
        <v>379</v>
      </c>
      <c r="O1225" s="31">
        <v>5</v>
      </c>
      <c r="P1225" s="31">
        <v>1</v>
      </c>
      <c r="Q1225" s="32">
        <v>2006</v>
      </c>
    </row>
    <row r="1226" spans="1:17" x14ac:dyDescent="0.25">
      <c r="A1226" s="1" t="s">
        <v>401</v>
      </c>
      <c r="B1226" s="31">
        <v>50.5</v>
      </c>
      <c r="C1226" s="1" t="s">
        <v>20</v>
      </c>
      <c r="D1226" s="2">
        <v>42705</v>
      </c>
      <c r="E1226" s="2">
        <v>42705</v>
      </c>
      <c r="F1226" s="17">
        <v>1734000</v>
      </c>
      <c r="G1226" s="17">
        <v>34336.629999999997</v>
      </c>
      <c r="H1226" s="1"/>
      <c r="I1226" s="1" t="s">
        <v>21</v>
      </c>
      <c r="J1226" s="1" t="s">
        <v>22</v>
      </c>
      <c r="K1226" s="1" t="s">
        <v>360</v>
      </c>
      <c r="L1226" s="1" t="s">
        <v>359</v>
      </c>
      <c r="M1226" s="1"/>
      <c r="N1226" s="1"/>
      <c r="O1226" s="31">
        <v>2</v>
      </c>
      <c r="P1226" s="31">
        <v>1</v>
      </c>
      <c r="Q1226" s="32">
        <v>2016</v>
      </c>
    </row>
    <row r="1227" spans="1:17" x14ac:dyDescent="0.25">
      <c r="A1227" s="1" t="s">
        <v>401</v>
      </c>
      <c r="B1227" s="31">
        <v>65.5</v>
      </c>
      <c r="C1227" s="1" t="s">
        <v>20</v>
      </c>
      <c r="D1227" s="2">
        <v>42675</v>
      </c>
      <c r="E1227" s="2">
        <v>42675</v>
      </c>
      <c r="F1227" s="17">
        <v>2270500</v>
      </c>
      <c r="G1227" s="17">
        <v>34664.120000000003</v>
      </c>
      <c r="H1227" s="1"/>
      <c r="I1227" s="1" t="s">
        <v>21</v>
      </c>
      <c r="J1227" s="1" t="s">
        <v>22</v>
      </c>
      <c r="K1227" s="1" t="s">
        <v>360</v>
      </c>
      <c r="L1227" s="1" t="s">
        <v>359</v>
      </c>
      <c r="M1227" s="1"/>
      <c r="N1227" s="1"/>
      <c r="O1227" s="31">
        <v>5</v>
      </c>
      <c r="P1227" s="31">
        <v>1</v>
      </c>
      <c r="Q1227" s="32">
        <v>2016</v>
      </c>
    </row>
    <row r="1228" spans="1:17" x14ac:dyDescent="0.25">
      <c r="A1228" s="1" t="s">
        <v>376</v>
      </c>
      <c r="B1228" s="31">
        <v>31.1</v>
      </c>
      <c r="C1228" s="1" t="s">
        <v>20</v>
      </c>
      <c r="D1228" s="2">
        <v>42795</v>
      </c>
      <c r="E1228" s="2">
        <v>42795</v>
      </c>
      <c r="F1228" s="17">
        <v>1080000</v>
      </c>
      <c r="G1228" s="17">
        <v>34726.69</v>
      </c>
      <c r="H1228" s="1"/>
      <c r="I1228" s="1" t="s">
        <v>21</v>
      </c>
      <c r="J1228" s="1" t="s">
        <v>22</v>
      </c>
      <c r="K1228" s="1" t="s">
        <v>360</v>
      </c>
      <c r="L1228" s="1" t="s">
        <v>359</v>
      </c>
      <c r="M1228" s="1"/>
      <c r="N1228" s="1"/>
      <c r="O1228" s="31">
        <v>2</v>
      </c>
      <c r="P1228" s="31">
        <v>2</v>
      </c>
      <c r="Q1228" s="32">
        <v>2006</v>
      </c>
    </row>
    <row r="1229" spans="1:17" x14ac:dyDescent="0.25">
      <c r="A1229" s="1" t="s">
        <v>376</v>
      </c>
      <c r="B1229" s="31">
        <v>31.1</v>
      </c>
      <c r="C1229" s="1" t="s">
        <v>20</v>
      </c>
      <c r="D1229" s="2">
        <v>42795</v>
      </c>
      <c r="E1229" s="2">
        <v>42795</v>
      </c>
      <c r="F1229" s="17">
        <v>1080000</v>
      </c>
      <c r="G1229" s="17">
        <v>34726.69</v>
      </c>
      <c r="H1229" s="1"/>
      <c r="I1229" s="1" t="s">
        <v>21</v>
      </c>
      <c r="J1229" s="1" t="s">
        <v>22</v>
      </c>
      <c r="K1229" s="1" t="s">
        <v>360</v>
      </c>
      <c r="L1229" s="1" t="s">
        <v>359</v>
      </c>
      <c r="M1229" s="1"/>
      <c r="N1229" s="1"/>
      <c r="O1229" s="31">
        <v>2</v>
      </c>
      <c r="P1229" s="31">
        <v>2</v>
      </c>
      <c r="Q1229" s="32">
        <v>2006</v>
      </c>
    </row>
    <row r="1230" spans="1:17" x14ac:dyDescent="0.25">
      <c r="A1230" s="1" t="s">
        <v>362</v>
      </c>
      <c r="B1230" s="31">
        <v>31</v>
      </c>
      <c r="C1230" s="1" t="s">
        <v>20</v>
      </c>
      <c r="D1230" s="2">
        <v>42767</v>
      </c>
      <c r="E1230" s="2">
        <v>42767</v>
      </c>
      <c r="F1230" s="17">
        <v>1080000</v>
      </c>
      <c r="G1230" s="17">
        <v>34838.71</v>
      </c>
      <c r="H1230" s="1"/>
      <c r="I1230" s="1" t="s">
        <v>21</v>
      </c>
      <c r="J1230" s="1" t="s">
        <v>22</v>
      </c>
      <c r="K1230" s="1" t="s">
        <v>360</v>
      </c>
      <c r="L1230" s="1" t="s">
        <v>359</v>
      </c>
      <c r="M1230" s="1"/>
      <c r="N1230" s="1" t="s">
        <v>128</v>
      </c>
      <c r="O1230" s="31">
        <v>9</v>
      </c>
      <c r="P1230" s="31">
        <v>2</v>
      </c>
      <c r="Q1230" s="32">
        <v>2017</v>
      </c>
    </row>
    <row r="1231" spans="1:17" x14ac:dyDescent="0.25">
      <c r="A1231" s="1" t="s">
        <v>362</v>
      </c>
      <c r="B1231" s="31">
        <v>31</v>
      </c>
      <c r="C1231" s="1" t="s">
        <v>20</v>
      </c>
      <c r="D1231" s="2">
        <v>42767</v>
      </c>
      <c r="E1231" s="2">
        <v>42767</v>
      </c>
      <c r="F1231" s="17">
        <v>1080000</v>
      </c>
      <c r="G1231" s="17">
        <v>34838.71</v>
      </c>
      <c r="H1231" s="1"/>
      <c r="I1231" s="1" t="s">
        <v>21</v>
      </c>
      <c r="J1231" s="1" t="s">
        <v>22</v>
      </c>
      <c r="K1231" s="1" t="s">
        <v>360</v>
      </c>
      <c r="L1231" s="1" t="s">
        <v>359</v>
      </c>
      <c r="M1231" s="1"/>
      <c r="N1231" s="1" t="s">
        <v>128</v>
      </c>
      <c r="O1231" s="31">
        <v>9</v>
      </c>
      <c r="P1231" s="31">
        <v>2</v>
      </c>
      <c r="Q1231" s="32">
        <v>2017</v>
      </c>
    </row>
    <row r="1232" spans="1:17" x14ac:dyDescent="0.25">
      <c r="A1232" s="1" t="s">
        <v>378</v>
      </c>
      <c r="B1232" s="31">
        <v>31.8</v>
      </c>
      <c r="C1232" s="1" t="s">
        <v>20</v>
      </c>
      <c r="D1232" s="2">
        <v>42795</v>
      </c>
      <c r="E1232" s="2">
        <v>42795</v>
      </c>
      <c r="F1232" s="17">
        <v>1110000</v>
      </c>
      <c r="G1232" s="17">
        <v>34905.660000000003</v>
      </c>
      <c r="H1232" s="1"/>
      <c r="I1232" s="1" t="s">
        <v>21</v>
      </c>
      <c r="J1232" s="1" t="s">
        <v>22</v>
      </c>
      <c r="K1232" s="1" t="s">
        <v>360</v>
      </c>
      <c r="L1232" s="1" t="s">
        <v>359</v>
      </c>
      <c r="M1232" s="1"/>
      <c r="N1232" s="1" t="s">
        <v>61</v>
      </c>
      <c r="O1232" s="31">
        <v>2</v>
      </c>
      <c r="P1232" s="31">
        <v>1</v>
      </c>
      <c r="Q1232" s="32">
        <v>2013</v>
      </c>
    </row>
    <row r="1233" spans="1:17" x14ac:dyDescent="0.25">
      <c r="A1233" s="1" t="s">
        <v>362</v>
      </c>
      <c r="B1233" s="31">
        <v>32.799999999999997</v>
      </c>
      <c r="C1233" s="1" t="s">
        <v>20</v>
      </c>
      <c r="D1233" s="2">
        <v>42795</v>
      </c>
      <c r="E1233" s="2">
        <v>42795</v>
      </c>
      <c r="F1233" s="17">
        <v>1147500</v>
      </c>
      <c r="G1233" s="17">
        <v>34984.76</v>
      </c>
      <c r="H1233" s="1"/>
      <c r="I1233" s="1" t="s">
        <v>21</v>
      </c>
      <c r="J1233" s="1" t="s">
        <v>22</v>
      </c>
      <c r="K1233" s="1" t="s">
        <v>360</v>
      </c>
      <c r="L1233" s="1" t="s">
        <v>359</v>
      </c>
      <c r="M1233" s="1"/>
      <c r="N1233" s="1" t="s">
        <v>368</v>
      </c>
      <c r="O1233" s="31">
        <v>2</v>
      </c>
      <c r="P1233" s="31">
        <v>1</v>
      </c>
      <c r="Q1233" s="32">
        <v>2008</v>
      </c>
    </row>
    <row r="1234" spans="1:17" x14ac:dyDescent="0.25">
      <c r="A1234" s="1" t="s">
        <v>401</v>
      </c>
      <c r="B1234" s="31">
        <v>51</v>
      </c>
      <c r="C1234" s="1" t="s">
        <v>20</v>
      </c>
      <c r="D1234" s="2">
        <v>42767</v>
      </c>
      <c r="E1234" s="2">
        <v>42767</v>
      </c>
      <c r="F1234" s="17">
        <v>1785000</v>
      </c>
      <c r="G1234" s="17">
        <v>35000</v>
      </c>
      <c r="H1234" s="1"/>
      <c r="I1234" s="1" t="s">
        <v>21</v>
      </c>
      <c r="J1234" s="1" t="s">
        <v>22</v>
      </c>
      <c r="K1234" s="1" t="s">
        <v>360</v>
      </c>
      <c r="L1234" s="1" t="s">
        <v>359</v>
      </c>
      <c r="M1234" s="1"/>
      <c r="N1234" s="1"/>
      <c r="O1234" s="31">
        <v>6</v>
      </c>
      <c r="P1234" s="31">
        <v>1</v>
      </c>
      <c r="Q1234" s="32">
        <v>2017</v>
      </c>
    </row>
    <row r="1235" spans="1:17" x14ac:dyDescent="0.25">
      <c r="A1235" s="1" t="s">
        <v>362</v>
      </c>
      <c r="B1235" s="31">
        <v>30</v>
      </c>
      <c r="C1235" s="1" t="s">
        <v>20</v>
      </c>
      <c r="D1235" s="2">
        <v>42705</v>
      </c>
      <c r="E1235" s="2">
        <v>42705</v>
      </c>
      <c r="F1235" s="17">
        <v>1050400</v>
      </c>
      <c r="G1235" s="17">
        <v>35013.33</v>
      </c>
      <c r="H1235" s="1"/>
      <c r="I1235" s="1" t="s">
        <v>21</v>
      </c>
      <c r="J1235" s="1" t="s">
        <v>22</v>
      </c>
      <c r="K1235" s="1" t="s">
        <v>360</v>
      </c>
      <c r="L1235" s="1" t="s">
        <v>359</v>
      </c>
      <c r="M1235" s="1"/>
      <c r="N1235" s="1" t="s">
        <v>299</v>
      </c>
      <c r="O1235" s="31">
        <v>4</v>
      </c>
      <c r="P1235" s="31">
        <v>2</v>
      </c>
      <c r="Q1235" s="32">
        <v>2001</v>
      </c>
    </row>
    <row r="1236" spans="1:17" x14ac:dyDescent="0.25">
      <c r="A1236" s="1" t="s">
        <v>362</v>
      </c>
      <c r="B1236" s="31">
        <v>30</v>
      </c>
      <c r="C1236" s="1" t="s">
        <v>20</v>
      </c>
      <c r="D1236" s="2">
        <v>42705</v>
      </c>
      <c r="E1236" s="2">
        <v>42705</v>
      </c>
      <c r="F1236" s="17">
        <v>1050400</v>
      </c>
      <c r="G1236" s="17">
        <v>35013.33</v>
      </c>
      <c r="H1236" s="1"/>
      <c r="I1236" s="1" t="s">
        <v>21</v>
      </c>
      <c r="J1236" s="1" t="s">
        <v>22</v>
      </c>
      <c r="K1236" s="1" t="s">
        <v>360</v>
      </c>
      <c r="L1236" s="1" t="s">
        <v>359</v>
      </c>
      <c r="M1236" s="1"/>
      <c r="N1236" s="1" t="s">
        <v>299</v>
      </c>
      <c r="O1236" s="31">
        <v>4</v>
      </c>
      <c r="P1236" s="31">
        <v>2</v>
      </c>
      <c r="Q1236" s="32">
        <v>2001</v>
      </c>
    </row>
    <row r="1237" spans="1:17" x14ac:dyDescent="0.25">
      <c r="A1237" s="1" t="s">
        <v>384</v>
      </c>
      <c r="B1237" s="31">
        <v>28.5</v>
      </c>
      <c r="C1237" s="1" t="s">
        <v>20</v>
      </c>
      <c r="D1237" s="2">
        <v>42675</v>
      </c>
      <c r="E1237" s="2">
        <v>42675</v>
      </c>
      <c r="F1237" s="17">
        <v>1000000</v>
      </c>
      <c r="G1237" s="17">
        <v>35087.72</v>
      </c>
      <c r="H1237" s="1"/>
      <c r="I1237" s="1" t="s">
        <v>21</v>
      </c>
      <c r="J1237" s="1" t="s">
        <v>22</v>
      </c>
      <c r="K1237" s="1" t="s">
        <v>360</v>
      </c>
      <c r="L1237" s="1" t="s">
        <v>359</v>
      </c>
      <c r="M1237" s="1"/>
      <c r="N1237" s="1"/>
      <c r="O1237" s="31">
        <v>3</v>
      </c>
      <c r="P1237" s="31">
        <v>1</v>
      </c>
      <c r="Q1237" s="32">
        <v>2006</v>
      </c>
    </row>
    <row r="1238" spans="1:17" x14ac:dyDescent="0.25">
      <c r="A1238" s="1" t="s">
        <v>373</v>
      </c>
      <c r="B1238" s="31">
        <v>34.4</v>
      </c>
      <c r="C1238" s="1" t="s">
        <v>20</v>
      </c>
      <c r="D1238" s="2">
        <v>42644</v>
      </c>
      <c r="E1238" s="2">
        <v>42644</v>
      </c>
      <c r="F1238" s="17">
        <v>1212000</v>
      </c>
      <c r="G1238" s="17">
        <v>35232.559999999998</v>
      </c>
      <c r="H1238" s="1"/>
      <c r="I1238" s="1" t="s">
        <v>21</v>
      </c>
      <c r="J1238" s="1" t="s">
        <v>22</v>
      </c>
      <c r="K1238" s="1" t="s">
        <v>360</v>
      </c>
      <c r="L1238" s="1" t="s">
        <v>359</v>
      </c>
      <c r="M1238" s="1"/>
      <c r="N1238" s="1" t="s">
        <v>377</v>
      </c>
      <c r="O1238" s="31">
        <v>4</v>
      </c>
      <c r="P1238" s="31">
        <v>1</v>
      </c>
      <c r="Q1238" s="32">
        <v>2016</v>
      </c>
    </row>
    <row r="1239" spans="1:17" x14ac:dyDescent="0.25">
      <c r="A1239" s="1" t="s">
        <v>364</v>
      </c>
      <c r="B1239" s="31">
        <v>33.700000000000003</v>
      </c>
      <c r="C1239" s="1" t="s">
        <v>20</v>
      </c>
      <c r="D1239" s="2">
        <v>42705</v>
      </c>
      <c r="E1239" s="2">
        <v>42705</v>
      </c>
      <c r="F1239" s="17">
        <v>1200000</v>
      </c>
      <c r="G1239" s="17">
        <v>35608.31</v>
      </c>
      <c r="H1239" s="1"/>
      <c r="I1239" s="1" t="s">
        <v>21</v>
      </c>
      <c r="J1239" s="1" t="s">
        <v>22</v>
      </c>
      <c r="K1239" s="1" t="s">
        <v>360</v>
      </c>
      <c r="L1239" s="1" t="s">
        <v>359</v>
      </c>
      <c r="M1239" s="1"/>
      <c r="N1239" s="1" t="s">
        <v>370</v>
      </c>
      <c r="O1239" s="31">
        <v>1</v>
      </c>
      <c r="P1239" s="31">
        <v>1</v>
      </c>
      <c r="Q1239" s="32">
        <v>2013</v>
      </c>
    </row>
    <row r="1240" spans="1:17" x14ac:dyDescent="0.25">
      <c r="A1240" s="1" t="s">
        <v>376</v>
      </c>
      <c r="B1240" s="31">
        <v>44.8</v>
      </c>
      <c r="C1240" s="1" t="s">
        <v>20</v>
      </c>
      <c r="D1240" s="2">
        <v>42644</v>
      </c>
      <c r="E1240" s="2">
        <v>42644</v>
      </c>
      <c r="F1240" s="17">
        <v>1600000</v>
      </c>
      <c r="G1240" s="17">
        <v>35714.29</v>
      </c>
      <c r="H1240" s="1"/>
      <c r="I1240" s="1" t="s">
        <v>21</v>
      </c>
      <c r="J1240" s="1" t="s">
        <v>22</v>
      </c>
      <c r="K1240" s="1" t="s">
        <v>360</v>
      </c>
      <c r="L1240" s="1" t="s">
        <v>359</v>
      </c>
      <c r="M1240" s="1"/>
      <c r="N1240" s="1"/>
      <c r="O1240" s="31">
        <v>3</v>
      </c>
      <c r="P1240" s="31">
        <v>1</v>
      </c>
      <c r="Q1240" s="32">
        <v>2003</v>
      </c>
    </row>
    <row r="1241" spans="1:17" x14ac:dyDescent="0.25">
      <c r="A1241" s="1" t="s">
        <v>401</v>
      </c>
      <c r="B1241" s="31">
        <v>50.5</v>
      </c>
      <c r="C1241" s="1" t="s">
        <v>20</v>
      </c>
      <c r="D1241" s="2">
        <v>42736</v>
      </c>
      <c r="E1241" s="2">
        <v>42736</v>
      </c>
      <c r="F1241" s="17">
        <v>1805000</v>
      </c>
      <c r="G1241" s="17">
        <v>35742.57</v>
      </c>
      <c r="H1241" s="1"/>
      <c r="I1241" s="1" t="s">
        <v>21</v>
      </c>
      <c r="J1241" s="1" t="s">
        <v>22</v>
      </c>
      <c r="K1241" s="1" t="s">
        <v>360</v>
      </c>
      <c r="L1241" s="1" t="s">
        <v>359</v>
      </c>
      <c r="M1241" s="1"/>
      <c r="N1241" s="1"/>
      <c r="O1241" s="31">
        <v>6</v>
      </c>
      <c r="P1241" s="31">
        <v>1</v>
      </c>
      <c r="Q1241" s="32">
        <v>2017</v>
      </c>
    </row>
    <row r="1242" spans="1:17" x14ac:dyDescent="0.25">
      <c r="A1242" s="1" t="s">
        <v>367</v>
      </c>
      <c r="B1242" s="31">
        <v>48.9</v>
      </c>
      <c r="C1242" s="1" t="s">
        <v>20</v>
      </c>
      <c r="D1242" s="2">
        <v>42795</v>
      </c>
      <c r="E1242" s="2">
        <v>42795</v>
      </c>
      <c r="F1242" s="17">
        <v>1750000</v>
      </c>
      <c r="G1242" s="17">
        <v>35787.32</v>
      </c>
      <c r="H1242" s="1"/>
      <c r="I1242" s="1" t="s">
        <v>21</v>
      </c>
      <c r="J1242" s="1" t="s">
        <v>22</v>
      </c>
      <c r="K1242" s="1" t="s">
        <v>360</v>
      </c>
      <c r="L1242" s="1" t="s">
        <v>359</v>
      </c>
      <c r="M1242" s="1"/>
      <c r="N1242" s="1" t="s">
        <v>363</v>
      </c>
      <c r="O1242" s="31">
        <v>3</v>
      </c>
      <c r="P1242" s="31">
        <v>1</v>
      </c>
      <c r="Q1242" s="32">
        <v>2003</v>
      </c>
    </row>
    <row r="1243" spans="1:17" x14ac:dyDescent="0.25">
      <c r="A1243" s="1" t="s">
        <v>362</v>
      </c>
      <c r="B1243" s="31">
        <v>50.2</v>
      </c>
      <c r="C1243" s="1" t="s">
        <v>20</v>
      </c>
      <c r="D1243" s="2">
        <v>42644</v>
      </c>
      <c r="E1243" s="2">
        <v>42644</v>
      </c>
      <c r="F1243" s="17">
        <v>1800000</v>
      </c>
      <c r="G1243" s="17">
        <v>35856.57</v>
      </c>
      <c r="H1243" s="1"/>
      <c r="I1243" s="1" t="s">
        <v>21</v>
      </c>
      <c r="J1243" s="1" t="s">
        <v>22</v>
      </c>
      <c r="K1243" s="1" t="s">
        <v>360</v>
      </c>
      <c r="L1243" s="1" t="s">
        <v>359</v>
      </c>
      <c r="M1243" s="1"/>
      <c r="N1243" s="1" t="s">
        <v>363</v>
      </c>
      <c r="O1243" s="31">
        <v>5</v>
      </c>
      <c r="P1243" s="31">
        <v>1</v>
      </c>
      <c r="Q1243" s="32">
        <v>2003</v>
      </c>
    </row>
    <row r="1244" spans="1:17" x14ac:dyDescent="0.25">
      <c r="A1244" s="1" t="s">
        <v>401</v>
      </c>
      <c r="B1244" s="31">
        <v>65.5</v>
      </c>
      <c r="C1244" s="1" t="s">
        <v>20</v>
      </c>
      <c r="D1244" s="2">
        <v>42736</v>
      </c>
      <c r="E1244" s="2">
        <v>42767</v>
      </c>
      <c r="F1244" s="17">
        <v>2352000</v>
      </c>
      <c r="G1244" s="17">
        <v>35908.400000000001</v>
      </c>
      <c r="H1244" s="1"/>
      <c r="I1244" s="1" t="s">
        <v>21</v>
      </c>
      <c r="J1244" s="1" t="s">
        <v>22</v>
      </c>
      <c r="K1244" s="1" t="s">
        <v>360</v>
      </c>
      <c r="L1244" s="1" t="s">
        <v>359</v>
      </c>
      <c r="M1244" s="1"/>
      <c r="N1244" s="1"/>
      <c r="O1244" s="31">
        <v>6</v>
      </c>
      <c r="P1244" s="31">
        <v>1</v>
      </c>
      <c r="Q1244" s="32">
        <v>2017</v>
      </c>
    </row>
    <row r="1245" spans="1:17" x14ac:dyDescent="0.25">
      <c r="A1245" s="1" t="s">
        <v>384</v>
      </c>
      <c r="B1245" s="31">
        <v>51.4</v>
      </c>
      <c r="C1245" s="1" t="s">
        <v>20</v>
      </c>
      <c r="D1245" s="2">
        <v>42705</v>
      </c>
      <c r="E1245" s="2">
        <v>42705</v>
      </c>
      <c r="F1245" s="17">
        <v>1850000</v>
      </c>
      <c r="G1245" s="17">
        <v>35992.22</v>
      </c>
      <c r="H1245" s="1"/>
      <c r="I1245" s="1" t="s">
        <v>21</v>
      </c>
      <c r="J1245" s="1" t="s">
        <v>22</v>
      </c>
      <c r="K1245" s="1" t="s">
        <v>360</v>
      </c>
      <c r="L1245" s="1" t="s">
        <v>359</v>
      </c>
      <c r="M1245" s="1"/>
      <c r="N1245" s="1" t="s">
        <v>363</v>
      </c>
      <c r="O1245" s="31">
        <v>5</v>
      </c>
      <c r="P1245" s="31">
        <v>2</v>
      </c>
      <c r="Q1245" s="32">
        <v>2013</v>
      </c>
    </row>
    <row r="1246" spans="1:17" x14ac:dyDescent="0.25">
      <c r="A1246" s="1" t="s">
        <v>384</v>
      </c>
      <c r="B1246" s="31">
        <v>51.4</v>
      </c>
      <c r="C1246" s="1" t="s">
        <v>20</v>
      </c>
      <c r="D1246" s="2">
        <v>42705</v>
      </c>
      <c r="E1246" s="2">
        <v>42705</v>
      </c>
      <c r="F1246" s="17">
        <v>1850000</v>
      </c>
      <c r="G1246" s="17">
        <v>35992.22</v>
      </c>
      <c r="H1246" s="1"/>
      <c r="I1246" s="1" t="s">
        <v>21</v>
      </c>
      <c r="J1246" s="1" t="s">
        <v>22</v>
      </c>
      <c r="K1246" s="1" t="s">
        <v>360</v>
      </c>
      <c r="L1246" s="1" t="s">
        <v>359</v>
      </c>
      <c r="M1246" s="1"/>
      <c r="N1246" s="1" t="s">
        <v>363</v>
      </c>
      <c r="O1246" s="31">
        <v>5</v>
      </c>
      <c r="P1246" s="31">
        <v>2</v>
      </c>
      <c r="Q1246" s="32">
        <v>2013</v>
      </c>
    </row>
    <row r="1247" spans="1:17" x14ac:dyDescent="0.25">
      <c r="A1247" s="1" t="s">
        <v>402</v>
      </c>
      <c r="B1247" s="31">
        <v>76.400000000000006</v>
      </c>
      <c r="C1247" s="1" t="s">
        <v>20</v>
      </c>
      <c r="D1247" s="2">
        <v>42736</v>
      </c>
      <c r="E1247" s="2">
        <v>42736</v>
      </c>
      <c r="F1247" s="17">
        <v>2750000</v>
      </c>
      <c r="G1247" s="17">
        <v>35994.76</v>
      </c>
      <c r="H1247" s="1"/>
      <c r="I1247" s="1" t="s">
        <v>21</v>
      </c>
      <c r="J1247" s="1" t="s">
        <v>18</v>
      </c>
      <c r="K1247" s="1" t="s">
        <v>360</v>
      </c>
      <c r="L1247" s="1" t="s">
        <v>359</v>
      </c>
      <c r="M1247" s="1"/>
      <c r="N1247" s="1" t="s">
        <v>299</v>
      </c>
      <c r="O1247" s="31">
        <v>4</v>
      </c>
      <c r="P1247" s="31">
        <v>1</v>
      </c>
      <c r="Q1247" s="32">
        <v>2015</v>
      </c>
    </row>
    <row r="1248" spans="1:17" x14ac:dyDescent="0.25">
      <c r="A1248" s="1" t="s">
        <v>362</v>
      </c>
      <c r="B1248" s="31">
        <v>47.1</v>
      </c>
      <c r="C1248" s="1" t="s">
        <v>20</v>
      </c>
      <c r="D1248" s="2">
        <v>42767</v>
      </c>
      <c r="E1248" s="2">
        <v>42767</v>
      </c>
      <c r="F1248" s="17">
        <v>1700000</v>
      </c>
      <c r="G1248" s="17">
        <v>36093.42</v>
      </c>
      <c r="H1248" s="1"/>
      <c r="I1248" s="1" t="s">
        <v>21</v>
      </c>
      <c r="J1248" s="1" t="s">
        <v>22</v>
      </c>
      <c r="K1248" s="1" t="s">
        <v>360</v>
      </c>
      <c r="L1248" s="1" t="s">
        <v>359</v>
      </c>
      <c r="M1248" s="1"/>
      <c r="N1248" s="1" t="s">
        <v>368</v>
      </c>
      <c r="O1248" s="31">
        <v>1</v>
      </c>
      <c r="P1248" s="31">
        <v>1</v>
      </c>
      <c r="Q1248" s="32">
        <v>2012</v>
      </c>
    </row>
    <row r="1249" spans="1:17" x14ac:dyDescent="0.25">
      <c r="A1249" s="1" t="s">
        <v>378</v>
      </c>
      <c r="B1249" s="31">
        <v>47</v>
      </c>
      <c r="C1249" s="1" t="s">
        <v>20</v>
      </c>
      <c r="D1249" s="2">
        <v>42767</v>
      </c>
      <c r="E1249" s="2">
        <v>42767</v>
      </c>
      <c r="F1249" s="17">
        <v>1700000</v>
      </c>
      <c r="G1249" s="17">
        <v>36170.21</v>
      </c>
      <c r="H1249" s="1"/>
      <c r="I1249" s="1" t="s">
        <v>21</v>
      </c>
      <c r="J1249" s="1" t="s">
        <v>22</v>
      </c>
      <c r="K1249" s="1" t="s">
        <v>360</v>
      </c>
      <c r="L1249" s="1" t="s">
        <v>359</v>
      </c>
      <c r="M1249" s="1"/>
      <c r="N1249" s="1" t="s">
        <v>299</v>
      </c>
      <c r="O1249" s="31">
        <v>1</v>
      </c>
      <c r="P1249" s="31">
        <v>1</v>
      </c>
      <c r="Q1249" s="32">
        <v>2015</v>
      </c>
    </row>
    <row r="1250" spans="1:17" x14ac:dyDescent="0.25">
      <c r="A1250" s="1" t="s">
        <v>371</v>
      </c>
      <c r="B1250" s="31">
        <v>45</v>
      </c>
      <c r="C1250" s="1" t="s">
        <v>20</v>
      </c>
      <c r="D1250" s="2">
        <v>42705</v>
      </c>
      <c r="E1250" s="2">
        <v>42705</v>
      </c>
      <c r="F1250" s="17">
        <v>1640000</v>
      </c>
      <c r="G1250" s="17">
        <v>36444.44</v>
      </c>
      <c r="H1250" s="1"/>
      <c r="I1250" s="1" t="s">
        <v>21</v>
      </c>
      <c r="J1250" s="1" t="s">
        <v>22</v>
      </c>
      <c r="K1250" s="1" t="s">
        <v>360</v>
      </c>
      <c r="L1250" s="1" t="s">
        <v>359</v>
      </c>
      <c r="M1250" s="1"/>
      <c r="N1250" s="1" t="s">
        <v>372</v>
      </c>
      <c r="O1250" s="31">
        <v>4</v>
      </c>
      <c r="P1250" s="31">
        <v>1</v>
      </c>
      <c r="Q1250" s="32">
        <v>2012</v>
      </c>
    </row>
    <row r="1251" spans="1:17" x14ac:dyDescent="0.25">
      <c r="A1251" s="1" t="s">
        <v>384</v>
      </c>
      <c r="B1251" s="31">
        <v>30.4</v>
      </c>
      <c r="C1251" s="1" t="s">
        <v>20</v>
      </c>
      <c r="D1251" s="2">
        <v>42705</v>
      </c>
      <c r="E1251" s="2">
        <v>42705</v>
      </c>
      <c r="F1251" s="17">
        <v>1112000</v>
      </c>
      <c r="G1251" s="17">
        <v>36578.949999999997</v>
      </c>
      <c r="H1251" s="1"/>
      <c r="I1251" s="1" t="s">
        <v>21</v>
      </c>
      <c r="J1251" s="1" t="s">
        <v>22</v>
      </c>
      <c r="K1251" s="1" t="s">
        <v>360</v>
      </c>
      <c r="L1251" s="1" t="s">
        <v>359</v>
      </c>
      <c r="M1251" s="1"/>
      <c r="N1251" s="1" t="s">
        <v>128</v>
      </c>
      <c r="O1251" s="31">
        <v>1</v>
      </c>
      <c r="P1251" s="31">
        <v>1</v>
      </c>
      <c r="Q1251" s="32">
        <v>2004</v>
      </c>
    </row>
    <row r="1252" spans="1:17" x14ac:dyDescent="0.25">
      <c r="A1252" s="1" t="s">
        <v>362</v>
      </c>
      <c r="B1252" s="31">
        <v>44.3</v>
      </c>
      <c r="C1252" s="1" t="s">
        <v>20</v>
      </c>
      <c r="D1252" s="2">
        <v>42705</v>
      </c>
      <c r="E1252" s="2">
        <v>42705</v>
      </c>
      <c r="F1252" s="17">
        <v>1624000</v>
      </c>
      <c r="G1252" s="17">
        <v>36659.14</v>
      </c>
      <c r="H1252" s="1"/>
      <c r="I1252" s="1" t="s">
        <v>21</v>
      </c>
      <c r="J1252" s="1" t="s">
        <v>22</v>
      </c>
      <c r="K1252" s="1" t="s">
        <v>360</v>
      </c>
      <c r="L1252" s="1" t="s">
        <v>359</v>
      </c>
      <c r="M1252" s="1"/>
      <c r="N1252" s="1"/>
      <c r="O1252" s="31">
        <v>1</v>
      </c>
      <c r="P1252" s="31">
        <v>2</v>
      </c>
      <c r="Q1252" s="32">
        <v>2009</v>
      </c>
    </row>
    <row r="1253" spans="1:17" x14ac:dyDescent="0.25">
      <c r="A1253" s="1" t="s">
        <v>362</v>
      </c>
      <c r="B1253" s="31">
        <v>44.3</v>
      </c>
      <c r="C1253" s="1" t="s">
        <v>20</v>
      </c>
      <c r="D1253" s="2">
        <v>42705</v>
      </c>
      <c r="E1253" s="2">
        <v>42705</v>
      </c>
      <c r="F1253" s="17">
        <v>1624000</v>
      </c>
      <c r="G1253" s="17">
        <v>36659.14</v>
      </c>
      <c r="H1253" s="1"/>
      <c r="I1253" s="1" t="s">
        <v>21</v>
      </c>
      <c r="J1253" s="1" t="s">
        <v>22</v>
      </c>
      <c r="K1253" s="1" t="s">
        <v>360</v>
      </c>
      <c r="L1253" s="1" t="s">
        <v>359</v>
      </c>
      <c r="M1253" s="1"/>
      <c r="N1253" s="1"/>
      <c r="O1253" s="31">
        <v>1</v>
      </c>
      <c r="P1253" s="31">
        <v>2</v>
      </c>
      <c r="Q1253" s="32">
        <v>2009</v>
      </c>
    </row>
    <row r="1254" spans="1:17" x14ac:dyDescent="0.25">
      <c r="A1254" s="1" t="s">
        <v>369</v>
      </c>
      <c r="B1254" s="31">
        <v>60</v>
      </c>
      <c r="C1254" s="1" t="s">
        <v>20</v>
      </c>
      <c r="D1254" s="2">
        <v>42736</v>
      </c>
      <c r="E1254" s="2">
        <v>42736</v>
      </c>
      <c r="F1254" s="17">
        <v>2200000</v>
      </c>
      <c r="G1254" s="17">
        <v>36666.67</v>
      </c>
      <c r="H1254" s="1"/>
      <c r="I1254" s="1" t="s">
        <v>21</v>
      </c>
      <c r="J1254" s="1" t="s">
        <v>22</v>
      </c>
      <c r="K1254" s="1" t="s">
        <v>360</v>
      </c>
      <c r="L1254" s="1" t="s">
        <v>359</v>
      </c>
      <c r="M1254" s="1"/>
      <c r="N1254" s="1" t="s">
        <v>370</v>
      </c>
      <c r="O1254" s="31">
        <v>7</v>
      </c>
      <c r="P1254" s="31">
        <v>2</v>
      </c>
      <c r="Q1254" s="32">
        <v>2014</v>
      </c>
    </row>
    <row r="1255" spans="1:17" x14ac:dyDescent="0.25">
      <c r="A1255" s="1" t="s">
        <v>369</v>
      </c>
      <c r="B1255" s="31">
        <v>60</v>
      </c>
      <c r="C1255" s="1" t="s">
        <v>20</v>
      </c>
      <c r="D1255" s="2">
        <v>42736</v>
      </c>
      <c r="E1255" s="2">
        <v>42736</v>
      </c>
      <c r="F1255" s="17">
        <v>2200000</v>
      </c>
      <c r="G1255" s="17">
        <v>36666.67</v>
      </c>
      <c r="H1255" s="1"/>
      <c r="I1255" s="1" t="s">
        <v>21</v>
      </c>
      <c r="J1255" s="1" t="s">
        <v>22</v>
      </c>
      <c r="K1255" s="1" t="s">
        <v>360</v>
      </c>
      <c r="L1255" s="1" t="s">
        <v>359</v>
      </c>
      <c r="M1255" s="1"/>
      <c r="N1255" s="1" t="s">
        <v>370</v>
      </c>
      <c r="O1255" s="31">
        <v>7</v>
      </c>
      <c r="P1255" s="31">
        <v>2</v>
      </c>
      <c r="Q1255" s="32">
        <v>2014</v>
      </c>
    </row>
    <row r="1256" spans="1:17" x14ac:dyDescent="0.25">
      <c r="A1256" s="1" t="s">
        <v>384</v>
      </c>
      <c r="B1256" s="31">
        <v>44.7</v>
      </c>
      <c r="C1256" s="1" t="s">
        <v>20</v>
      </c>
      <c r="D1256" s="2">
        <v>42675</v>
      </c>
      <c r="E1256" s="2">
        <v>42675</v>
      </c>
      <c r="F1256" s="17">
        <v>1640000</v>
      </c>
      <c r="G1256" s="17">
        <v>36689.040000000001</v>
      </c>
      <c r="H1256" s="1"/>
      <c r="I1256" s="1" t="s">
        <v>21</v>
      </c>
      <c r="J1256" s="1" t="s">
        <v>22</v>
      </c>
      <c r="K1256" s="1" t="s">
        <v>360</v>
      </c>
      <c r="L1256" s="1" t="s">
        <v>359</v>
      </c>
      <c r="M1256" s="1"/>
      <c r="N1256" s="1" t="s">
        <v>128</v>
      </c>
      <c r="O1256" s="31">
        <v>2</v>
      </c>
      <c r="P1256" s="31">
        <v>1</v>
      </c>
      <c r="Q1256" s="32">
        <v>2005</v>
      </c>
    </row>
    <row r="1257" spans="1:17" x14ac:dyDescent="0.25">
      <c r="A1257" s="1" t="s">
        <v>376</v>
      </c>
      <c r="B1257" s="31">
        <v>46.2</v>
      </c>
      <c r="C1257" s="1" t="s">
        <v>20</v>
      </c>
      <c r="D1257" s="2">
        <v>42767</v>
      </c>
      <c r="E1257" s="2">
        <v>42767</v>
      </c>
      <c r="F1257" s="17">
        <v>1700000</v>
      </c>
      <c r="G1257" s="17">
        <v>36796.54</v>
      </c>
      <c r="H1257" s="1"/>
      <c r="I1257" s="1" t="s">
        <v>21</v>
      </c>
      <c r="J1257" s="1" t="s">
        <v>22</v>
      </c>
      <c r="K1257" s="1" t="s">
        <v>360</v>
      </c>
      <c r="L1257" s="1" t="s">
        <v>359</v>
      </c>
      <c r="M1257" s="1"/>
      <c r="N1257" s="1"/>
      <c r="O1257" s="31">
        <v>5</v>
      </c>
      <c r="P1257" s="31">
        <v>2</v>
      </c>
      <c r="Q1257" s="32">
        <v>2012</v>
      </c>
    </row>
    <row r="1258" spans="1:17" x14ac:dyDescent="0.25">
      <c r="A1258" s="1" t="s">
        <v>376</v>
      </c>
      <c r="B1258" s="31">
        <v>46.2</v>
      </c>
      <c r="C1258" s="1" t="s">
        <v>20</v>
      </c>
      <c r="D1258" s="2">
        <v>42767</v>
      </c>
      <c r="E1258" s="2">
        <v>42767</v>
      </c>
      <c r="F1258" s="17">
        <v>1700000</v>
      </c>
      <c r="G1258" s="17">
        <v>36796.54</v>
      </c>
      <c r="H1258" s="1"/>
      <c r="I1258" s="1" t="s">
        <v>21</v>
      </c>
      <c r="J1258" s="1" t="s">
        <v>22</v>
      </c>
      <c r="K1258" s="1" t="s">
        <v>360</v>
      </c>
      <c r="L1258" s="1" t="s">
        <v>359</v>
      </c>
      <c r="M1258" s="1"/>
      <c r="N1258" s="1"/>
      <c r="O1258" s="31">
        <v>5</v>
      </c>
      <c r="P1258" s="31">
        <v>2</v>
      </c>
      <c r="Q1258" s="32">
        <v>2012</v>
      </c>
    </row>
    <row r="1259" spans="1:17" x14ac:dyDescent="0.25">
      <c r="A1259" s="1" t="s">
        <v>373</v>
      </c>
      <c r="B1259" s="31">
        <v>45.3</v>
      </c>
      <c r="C1259" s="1" t="s">
        <v>20</v>
      </c>
      <c r="D1259" s="2">
        <v>42675</v>
      </c>
      <c r="E1259" s="2">
        <v>42675</v>
      </c>
      <c r="F1259" s="17">
        <v>1672000</v>
      </c>
      <c r="G1259" s="17">
        <v>36909.49</v>
      </c>
      <c r="H1259" s="1"/>
      <c r="I1259" s="1" t="s">
        <v>21</v>
      </c>
      <c r="J1259" s="1" t="s">
        <v>22</v>
      </c>
      <c r="K1259" s="1" t="s">
        <v>360</v>
      </c>
      <c r="L1259" s="1" t="s">
        <v>359</v>
      </c>
      <c r="M1259" s="1"/>
      <c r="N1259" s="1" t="s">
        <v>377</v>
      </c>
      <c r="O1259" s="31">
        <v>1</v>
      </c>
      <c r="P1259" s="31">
        <v>1</v>
      </c>
      <c r="Q1259" s="32">
        <v>2012</v>
      </c>
    </row>
    <row r="1260" spans="1:17" x14ac:dyDescent="0.25">
      <c r="A1260" s="1" t="s">
        <v>364</v>
      </c>
      <c r="B1260" s="31">
        <v>48.3</v>
      </c>
      <c r="C1260" s="1" t="s">
        <v>20</v>
      </c>
      <c r="D1260" s="2">
        <v>42644</v>
      </c>
      <c r="E1260" s="2">
        <v>42644</v>
      </c>
      <c r="F1260" s="17">
        <v>1785000</v>
      </c>
      <c r="G1260" s="17">
        <v>36956.519999999997</v>
      </c>
      <c r="H1260" s="1"/>
      <c r="I1260" s="1" t="s">
        <v>21</v>
      </c>
      <c r="J1260" s="1" t="s">
        <v>22</v>
      </c>
      <c r="K1260" s="1" t="s">
        <v>360</v>
      </c>
      <c r="L1260" s="1" t="s">
        <v>359</v>
      </c>
      <c r="M1260" s="1"/>
      <c r="N1260" s="1" t="s">
        <v>336</v>
      </c>
      <c r="O1260" s="31">
        <v>1</v>
      </c>
      <c r="P1260" s="31">
        <v>1</v>
      </c>
      <c r="Q1260" s="32">
        <v>2002</v>
      </c>
    </row>
    <row r="1261" spans="1:17" x14ac:dyDescent="0.25">
      <c r="A1261" s="1" t="s">
        <v>376</v>
      </c>
      <c r="B1261" s="31">
        <v>31.1</v>
      </c>
      <c r="C1261" s="1" t="s">
        <v>20</v>
      </c>
      <c r="D1261" s="2">
        <v>42644</v>
      </c>
      <c r="E1261" s="2">
        <v>42644</v>
      </c>
      <c r="F1261" s="17">
        <v>1152000</v>
      </c>
      <c r="G1261" s="17">
        <v>37041.800000000003</v>
      </c>
      <c r="H1261" s="1"/>
      <c r="I1261" s="1" t="s">
        <v>21</v>
      </c>
      <c r="J1261" s="1" t="s">
        <v>22</v>
      </c>
      <c r="K1261" s="1" t="s">
        <v>360</v>
      </c>
      <c r="L1261" s="1" t="s">
        <v>359</v>
      </c>
      <c r="M1261" s="1"/>
      <c r="N1261" s="1" t="s">
        <v>128</v>
      </c>
      <c r="O1261" s="31">
        <v>5</v>
      </c>
      <c r="P1261" s="31">
        <v>2</v>
      </c>
      <c r="Q1261" s="32">
        <v>2016</v>
      </c>
    </row>
    <row r="1262" spans="1:17" x14ac:dyDescent="0.25">
      <c r="A1262" s="1" t="s">
        <v>376</v>
      </c>
      <c r="B1262" s="31">
        <v>31.1</v>
      </c>
      <c r="C1262" s="1" t="s">
        <v>20</v>
      </c>
      <c r="D1262" s="2">
        <v>42644</v>
      </c>
      <c r="E1262" s="2">
        <v>42644</v>
      </c>
      <c r="F1262" s="17">
        <v>1152000</v>
      </c>
      <c r="G1262" s="17">
        <v>37041.800000000003</v>
      </c>
      <c r="H1262" s="1"/>
      <c r="I1262" s="1" t="s">
        <v>21</v>
      </c>
      <c r="J1262" s="1" t="s">
        <v>22</v>
      </c>
      <c r="K1262" s="1" t="s">
        <v>360</v>
      </c>
      <c r="L1262" s="1" t="s">
        <v>359</v>
      </c>
      <c r="M1262" s="1"/>
      <c r="N1262" s="1" t="s">
        <v>128</v>
      </c>
      <c r="O1262" s="31">
        <v>5</v>
      </c>
      <c r="P1262" s="31">
        <v>2</v>
      </c>
      <c r="Q1262" s="32">
        <v>2016</v>
      </c>
    </row>
    <row r="1263" spans="1:17" x14ac:dyDescent="0.25">
      <c r="A1263" s="1" t="s">
        <v>364</v>
      </c>
      <c r="B1263" s="31">
        <v>37.799999999999997</v>
      </c>
      <c r="C1263" s="1" t="s">
        <v>20</v>
      </c>
      <c r="D1263" s="2">
        <v>42795</v>
      </c>
      <c r="E1263" s="2">
        <v>42795</v>
      </c>
      <c r="F1263" s="17">
        <v>1402000</v>
      </c>
      <c r="G1263" s="17">
        <v>37089.949999999997</v>
      </c>
      <c r="H1263" s="1"/>
      <c r="I1263" s="1" t="s">
        <v>21</v>
      </c>
      <c r="J1263" s="1" t="s">
        <v>22</v>
      </c>
      <c r="K1263" s="1" t="s">
        <v>360</v>
      </c>
      <c r="L1263" s="1" t="s">
        <v>359</v>
      </c>
      <c r="M1263" s="1"/>
      <c r="N1263" s="1"/>
      <c r="O1263" s="31">
        <v>2</v>
      </c>
      <c r="P1263" s="31">
        <v>1</v>
      </c>
      <c r="Q1263" s="32">
        <v>2011</v>
      </c>
    </row>
    <row r="1264" spans="1:17" x14ac:dyDescent="0.25">
      <c r="A1264" s="1" t="s">
        <v>389</v>
      </c>
      <c r="B1264" s="31">
        <v>39</v>
      </c>
      <c r="C1264" s="1" t="s">
        <v>20</v>
      </c>
      <c r="D1264" s="2">
        <v>42705</v>
      </c>
      <c r="E1264" s="2">
        <v>42705</v>
      </c>
      <c r="F1264" s="17">
        <v>1450000</v>
      </c>
      <c r="G1264" s="17">
        <v>37179.49</v>
      </c>
      <c r="H1264" s="1"/>
      <c r="I1264" s="1" t="s">
        <v>21</v>
      </c>
      <c r="J1264" s="1" t="s">
        <v>22</v>
      </c>
      <c r="K1264" s="1" t="s">
        <v>360</v>
      </c>
      <c r="L1264" s="1" t="s">
        <v>359</v>
      </c>
      <c r="M1264" s="1"/>
      <c r="N1264" s="1" t="s">
        <v>390</v>
      </c>
      <c r="O1264" s="31">
        <v>2</v>
      </c>
      <c r="P1264" s="31">
        <v>1</v>
      </c>
      <c r="Q1264" s="32">
        <v>2013</v>
      </c>
    </row>
    <row r="1265" spans="1:17" x14ac:dyDescent="0.25">
      <c r="A1265" s="1" t="s">
        <v>395</v>
      </c>
      <c r="B1265" s="31">
        <v>53.6</v>
      </c>
      <c r="C1265" s="1" t="s">
        <v>20</v>
      </c>
      <c r="D1265" s="2">
        <v>42644</v>
      </c>
      <c r="E1265" s="2">
        <v>42644</v>
      </c>
      <c r="F1265" s="17">
        <v>2000000</v>
      </c>
      <c r="G1265" s="17">
        <v>37313.43</v>
      </c>
      <c r="H1265" s="1"/>
      <c r="I1265" s="1" t="s">
        <v>21</v>
      </c>
      <c r="J1265" s="1" t="s">
        <v>22</v>
      </c>
      <c r="K1265" s="1" t="s">
        <v>360</v>
      </c>
      <c r="L1265" s="1" t="s">
        <v>359</v>
      </c>
      <c r="M1265" s="1"/>
      <c r="N1265" s="1"/>
      <c r="O1265" s="31"/>
      <c r="P1265" s="31">
        <v>1</v>
      </c>
      <c r="Q1265" s="32">
        <v>2010</v>
      </c>
    </row>
    <row r="1266" spans="1:17" x14ac:dyDescent="0.25">
      <c r="A1266" s="1" t="s">
        <v>385</v>
      </c>
      <c r="B1266" s="31">
        <v>56.2</v>
      </c>
      <c r="C1266" s="1" t="s">
        <v>20</v>
      </c>
      <c r="D1266" s="2">
        <v>42644</v>
      </c>
      <c r="E1266" s="2">
        <v>42644</v>
      </c>
      <c r="F1266" s="17">
        <v>2100000</v>
      </c>
      <c r="G1266" s="17">
        <v>37366.550000000003</v>
      </c>
      <c r="H1266" s="1"/>
      <c r="I1266" s="1" t="s">
        <v>21</v>
      </c>
      <c r="J1266" s="1" t="s">
        <v>22</v>
      </c>
      <c r="K1266" s="1" t="s">
        <v>360</v>
      </c>
      <c r="L1266" s="1" t="s">
        <v>359</v>
      </c>
      <c r="M1266" s="1"/>
      <c r="N1266" s="1" t="s">
        <v>386</v>
      </c>
      <c r="O1266" s="31">
        <v>9</v>
      </c>
      <c r="P1266" s="31">
        <v>1</v>
      </c>
      <c r="Q1266" s="32">
        <v>2010</v>
      </c>
    </row>
    <row r="1267" spans="1:17" x14ac:dyDescent="0.25">
      <c r="A1267" s="1" t="s">
        <v>395</v>
      </c>
      <c r="B1267" s="31">
        <v>36</v>
      </c>
      <c r="C1267" s="1" t="s">
        <v>20</v>
      </c>
      <c r="D1267" s="2">
        <v>42675</v>
      </c>
      <c r="E1267" s="2">
        <v>42675</v>
      </c>
      <c r="F1267" s="17">
        <v>1350000</v>
      </c>
      <c r="G1267" s="17">
        <v>37500</v>
      </c>
      <c r="H1267" s="1"/>
      <c r="I1267" s="1" t="s">
        <v>21</v>
      </c>
      <c r="J1267" s="1" t="s">
        <v>32</v>
      </c>
      <c r="K1267" s="1" t="s">
        <v>360</v>
      </c>
      <c r="L1267" s="1" t="s">
        <v>359</v>
      </c>
      <c r="M1267" s="1"/>
      <c r="N1267" s="1"/>
      <c r="O1267" s="31">
        <v>2</v>
      </c>
      <c r="P1267" s="31">
        <v>2</v>
      </c>
      <c r="Q1267" s="32">
        <v>2006</v>
      </c>
    </row>
    <row r="1268" spans="1:17" x14ac:dyDescent="0.25">
      <c r="A1268" s="1" t="s">
        <v>395</v>
      </c>
      <c r="B1268" s="31">
        <v>36</v>
      </c>
      <c r="C1268" s="1" t="s">
        <v>20</v>
      </c>
      <c r="D1268" s="2">
        <v>42675</v>
      </c>
      <c r="E1268" s="2">
        <v>42675</v>
      </c>
      <c r="F1268" s="17">
        <v>1350000</v>
      </c>
      <c r="G1268" s="17">
        <v>37500</v>
      </c>
      <c r="H1268" s="1"/>
      <c r="I1268" s="1" t="s">
        <v>21</v>
      </c>
      <c r="J1268" s="1" t="s">
        <v>32</v>
      </c>
      <c r="K1268" s="1" t="s">
        <v>360</v>
      </c>
      <c r="L1268" s="1" t="s">
        <v>359</v>
      </c>
      <c r="M1268" s="1"/>
      <c r="N1268" s="1"/>
      <c r="O1268" s="31">
        <v>2</v>
      </c>
      <c r="P1268" s="31">
        <v>2</v>
      </c>
      <c r="Q1268" s="32">
        <v>2006</v>
      </c>
    </row>
    <row r="1269" spans="1:17" x14ac:dyDescent="0.25">
      <c r="A1269" s="1" t="s">
        <v>374</v>
      </c>
      <c r="B1269" s="31">
        <v>30.9</v>
      </c>
      <c r="C1269" s="1" t="s">
        <v>20</v>
      </c>
      <c r="D1269" s="2">
        <v>42644</v>
      </c>
      <c r="E1269" s="2">
        <v>42675</v>
      </c>
      <c r="F1269" s="17">
        <v>1160000</v>
      </c>
      <c r="G1269" s="17">
        <v>37540.449999999997</v>
      </c>
      <c r="H1269" s="1"/>
      <c r="I1269" s="1" t="s">
        <v>21</v>
      </c>
      <c r="J1269" s="1" t="s">
        <v>22</v>
      </c>
      <c r="K1269" s="1" t="s">
        <v>360</v>
      </c>
      <c r="L1269" s="1" t="s">
        <v>359</v>
      </c>
      <c r="M1269" s="1"/>
      <c r="N1269" s="1" t="s">
        <v>128</v>
      </c>
      <c r="O1269" s="31">
        <v>3</v>
      </c>
      <c r="P1269" s="31">
        <v>1</v>
      </c>
      <c r="Q1269" s="32">
        <v>2002</v>
      </c>
    </row>
    <row r="1270" spans="1:17" x14ac:dyDescent="0.25">
      <c r="A1270" s="1" t="s">
        <v>384</v>
      </c>
      <c r="B1270" s="31">
        <v>48.7</v>
      </c>
      <c r="C1270" s="1" t="s">
        <v>20</v>
      </c>
      <c r="D1270" s="2">
        <v>42795</v>
      </c>
      <c r="E1270" s="2">
        <v>42795</v>
      </c>
      <c r="F1270" s="17">
        <v>1860000</v>
      </c>
      <c r="G1270" s="17">
        <v>38193.019999999997</v>
      </c>
      <c r="H1270" s="1"/>
      <c r="I1270" s="1" t="s">
        <v>21</v>
      </c>
      <c r="J1270" s="1" t="s">
        <v>22</v>
      </c>
      <c r="K1270" s="1" t="s">
        <v>360</v>
      </c>
      <c r="L1270" s="1" t="s">
        <v>359</v>
      </c>
      <c r="M1270" s="1"/>
      <c r="N1270" s="1" t="s">
        <v>363</v>
      </c>
      <c r="O1270" s="31">
        <v>5</v>
      </c>
      <c r="P1270" s="31">
        <v>1</v>
      </c>
      <c r="Q1270" s="32">
        <v>2006</v>
      </c>
    </row>
    <row r="1271" spans="1:17" x14ac:dyDescent="0.25">
      <c r="A1271" s="1" t="s">
        <v>362</v>
      </c>
      <c r="B1271" s="31">
        <v>43.2</v>
      </c>
      <c r="C1271" s="1" t="s">
        <v>20</v>
      </c>
      <c r="D1271" s="2">
        <v>42705</v>
      </c>
      <c r="E1271" s="2">
        <v>42705</v>
      </c>
      <c r="F1271" s="17">
        <v>1656000</v>
      </c>
      <c r="G1271" s="17">
        <v>38333.33</v>
      </c>
      <c r="H1271" s="1"/>
      <c r="I1271" s="1" t="s">
        <v>21</v>
      </c>
      <c r="J1271" s="1" t="s">
        <v>22</v>
      </c>
      <c r="K1271" s="1" t="s">
        <v>360</v>
      </c>
      <c r="L1271" s="1" t="s">
        <v>359</v>
      </c>
      <c r="M1271" s="1"/>
      <c r="N1271" s="1" t="s">
        <v>363</v>
      </c>
      <c r="O1271" s="31">
        <v>2</v>
      </c>
      <c r="P1271" s="31">
        <v>1</v>
      </c>
      <c r="Q1271" s="32">
        <v>2005</v>
      </c>
    </row>
    <row r="1272" spans="1:17" x14ac:dyDescent="0.25">
      <c r="A1272" s="1" t="s">
        <v>362</v>
      </c>
      <c r="B1272" s="31">
        <v>44.3</v>
      </c>
      <c r="C1272" s="1" t="s">
        <v>20</v>
      </c>
      <c r="D1272" s="2">
        <v>42644</v>
      </c>
      <c r="E1272" s="2">
        <v>42675</v>
      </c>
      <c r="F1272" s="17">
        <v>1710000</v>
      </c>
      <c r="G1272" s="17">
        <v>38600.449999999997</v>
      </c>
      <c r="H1272" s="1"/>
      <c r="I1272" s="1" t="s">
        <v>21</v>
      </c>
      <c r="J1272" s="1" t="s">
        <v>22</v>
      </c>
      <c r="K1272" s="1" t="s">
        <v>360</v>
      </c>
      <c r="L1272" s="1" t="s">
        <v>359</v>
      </c>
      <c r="M1272" s="1"/>
      <c r="N1272" s="1" t="s">
        <v>128</v>
      </c>
      <c r="O1272" s="31">
        <v>4</v>
      </c>
      <c r="P1272" s="31">
        <v>1</v>
      </c>
      <c r="Q1272" s="32">
        <v>2004</v>
      </c>
    </row>
    <row r="1273" spans="1:17" x14ac:dyDescent="0.25">
      <c r="A1273" s="1" t="s">
        <v>376</v>
      </c>
      <c r="B1273" s="31">
        <v>31</v>
      </c>
      <c r="C1273" s="1" t="s">
        <v>20</v>
      </c>
      <c r="D1273" s="2">
        <v>42767</v>
      </c>
      <c r="E1273" s="2">
        <v>42767</v>
      </c>
      <c r="F1273" s="17">
        <v>1216000</v>
      </c>
      <c r="G1273" s="17">
        <v>39225.81</v>
      </c>
      <c r="H1273" s="1"/>
      <c r="I1273" s="1" t="s">
        <v>21</v>
      </c>
      <c r="J1273" s="1" t="s">
        <v>22</v>
      </c>
      <c r="K1273" s="1" t="s">
        <v>360</v>
      </c>
      <c r="L1273" s="1" t="s">
        <v>359</v>
      </c>
      <c r="M1273" s="1"/>
      <c r="N1273" s="1" t="s">
        <v>363</v>
      </c>
      <c r="O1273" s="31">
        <v>4</v>
      </c>
      <c r="P1273" s="31">
        <v>1</v>
      </c>
      <c r="Q1273" s="32">
        <v>2015</v>
      </c>
    </row>
    <row r="1274" spans="1:17" x14ac:dyDescent="0.25">
      <c r="A1274" s="1" t="s">
        <v>364</v>
      </c>
      <c r="B1274" s="31">
        <v>39.5</v>
      </c>
      <c r="C1274" s="1" t="s">
        <v>20</v>
      </c>
      <c r="D1274" s="2">
        <v>42644</v>
      </c>
      <c r="E1274" s="2">
        <v>42644</v>
      </c>
      <c r="F1274" s="17">
        <v>1561000</v>
      </c>
      <c r="G1274" s="17">
        <v>39518.99</v>
      </c>
      <c r="H1274" s="1"/>
      <c r="I1274" s="1" t="s">
        <v>21</v>
      </c>
      <c r="J1274" s="1" t="s">
        <v>22</v>
      </c>
      <c r="K1274" s="1" t="s">
        <v>360</v>
      </c>
      <c r="L1274" s="1" t="s">
        <v>359</v>
      </c>
      <c r="M1274" s="1"/>
      <c r="N1274" s="1"/>
      <c r="O1274" s="31">
        <v>5</v>
      </c>
      <c r="P1274" s="31">
        <v>1</v>
      </c>
      <c r="Q1274" s="32">
        <v>2015</v>
      </c>
    </row>
    <row r="1275" spans="1:17" x14ac:dyDescent="0.25">
      <c r="A1275" s="1" t="s">
        <v>362</v>
      </c>
      <c r="B1275" s="31">
        <v>60.4</v>
      </c>
      <c r="C1275" s="1" t="s">
        <v>20</v>
      </c>
      <c r="D1275" s="2">
        <v>42767</v>
      </c>
      <c r="E1275" s="2">
        <v>42795</v>
      </c>
      <c r="F1275" s="17">
        <v>2400000</v>
      </c>
      <c r="G1275" s="17">
        <v>39735.1</v>
      </c>
      <c r="H1275" s="1"/>
      <c r="I1275" s="1" t="s">
        <v>21</v>
      </c>
      <c r="J1275" s="1" t="s">
        <v>22</v>
      </c>
      <c r="K1275" s="1" t="s">
        <v>360</v>
      </c>
      <c r="L1275" s="1" t="s">
        <v>359</v>
      </c>
      <c r="M1275" s="1"/>
      <c r="N1275" s="1" t="s">
        <v>128</v>
      </c>
      <c r="O1275" s="31">
        <v>2</v>
      </c>
      <c r="P1275" s="31">
        <v>1</v>
      </c>
      <c r="Q1275" s="32">
        <v>2007</v>
      </c>
    </row>
    <row r="1276" spans="1:17" x14ac:dyDescent="0.25">
      <c r="A1276" s="1" t="s">
        <v>402</v>
      </c>
      <c r="B1276" s="31">
        <v>58.7</v>
      </c>
      <c r="C1276" s="1" t="s">
        <v>20</v>
      </c>
      <c r="D1276" s="2">
        <v>42795</v>
      </c>
      <c r="E1276" s="2">
        <v>42795</v>
      </c>
      <c r="F1276" s="17">
        <v>2334000</v>
      </c>
      <c r="G1276" s="17">
        <v>39761.5</v>
      </c>
      <c r="H1276" s="1"/>
      <c r="I1276" s="1" t="s">
        <v>21</v>
      </c>
      <c r="J1276" s="1" t="s">
        <v>18</v>
      </c>
      <c r="K1276" s="1" t="s">
        <v>360</v>
      </c>
      <c r="L1276" s="1" t="s">
        <v>359</v>
      </c>
      <c r="M1276" s="1"/>
      <c r="N1276" s="1" t="s">
        <v>299</v>
      </c>
      <c r="O1276" s="31">
        <v>2</v>
      </c>
      <c r="P1276" s="31">
        <v>1</v>
      </c>
      <c r="Q1276" s="32">
        <v>2017</v>
      </c>
    </row>
    <row r="1277" spans="1:17" x14ac:dyDescent="0.25">
      <c r="A1277" s="1" t="s">
        <v>391</v>
      </c>
      <c r="B1277" s="31">
        <v>31.9</v>
      </c>
      <c r="C1277" s="1" t="s">
        <v>20</v>
      </c>
      <c r="D1277" s="2">
        <v>42705</v>
      </c>
      <c r="E1277" s="2">
        <v>42705</v>
      </c>
      <c r="F1277" s="17">
        <v>1270000</v>
      </c>
      <c r="G1277" s="17">
        <v>39811.910000000003</v>
      </c>
      <c r="H1277" s="1"/>
      <c r="I1277" s="1" t="s">
        <v>21</v>
      </c>
      <c r="J1277" s="1" t="s">
        <v>22</v>
      </c>
      <c r="K1277" s="1" t="s">
        <v>360</v>
      </c>
      <c r="L1277" s="1" t="s">
        <v>359</v>
      </c>
      <c r="M1277" s="1"/>
      <c r="N1277" s="1" t="s">
        <v>234</v>
      </c>
      <c r="O1277" s="31">
        <v>4</v>
      </c>
      <c r="P1277" s="31">
        <v>1</v>
      </c>
      <c r="Q1277" s="32">
        <v>2013</v>
      </c>
    </row>
    <row r="1278" spans="1:17" x14ac:dyDescent="0.25">
      <c r="A1278" s="1" t="s">
        <v>362</v>
      </c>
      <c r="B1278" s="31">
        <v>45.7</v>
      </c>
      <c r="C1278" s="1" t="s">
        <v>20</v>
      </c>
      <c r="D1278" s="2">
        <v>42644</v>
      </c>
      <c r="E1278" s="2">
        <v>42644</v>
      </c>
      <c r="F1278" s="17">
        <v>1850000</v>
      </c>
      <c r="G1278" s="17">
        <v>40481.4</v>
      </c>
      <c r="H1278" s="1"/>
      <c r="I1278" s="1" t="s">
        <v>21</v>
      </c>
      <c r="J1278" s="1" t="s">
        <v>22</v>
      </c>
      <c r="K1278" s="1" t="s">
        <v>360</v>
      </c>
      <c r="L1278" s="1" t="s">
        <v>359</v>
      </c>
      <c r="M1278" s="1"/>
      <c r="N1278" s="1" t="s">
        <v>299</v>
      </c>
      <c r="O1278" s="31">
        <v>1</v>
      </c>
      <c r="P1278" s="31">
        <v>1</v>
      </c>
      <c r="Q1278" s="32">
        <v>2005</v>
      </c>
    </row>
    <row r="1279" spans="1:17" x14ac:dyDescent="0.25">
      <c r="A1279" s="1" t="s">
        <v>367</v>
      </c>
      <c r="B1279" s="31">
        <v>55.3</v>
      </c>
      <c r="C1279" s="1" t="s">
        <v>20</v>
      </c>
      <c r="D1279" s="2">
        <v>42614</v>
      </c>
      <c r="E1279" s="2">
        <v>42644</v>
      </c>
      <c r="F1279" s="17">
        <v>2240000</v>
      </c>
      <c r="G1279" s="17">
        <v>40506.33</v>
      </c>
      <c r="H1279" s="1"/>
      <c r="I1279" s="1" t="s">
        <v>21</v>
      </c>
      <c r="J1279" s="1" t="s">
        <v>22</v>
      </c>
      <c r="K1279" s="1" t="s">
        <v>360</v>
      </c>
      <c r="L1279" s="1" t="s">
        <v>359</v>
      </c>
      <c r="M1279" s="1"/>
      <c r="N1279" s="1" t="s">
        <v>363</v>
      </c>
      <c r="O1279" s="31">
        <v>5</v>
      </c>
      <c r="P1279" s="31">
        <v>1</v>
      </c>
      <c r="Q1279" s="32">
        <v>2011</v>
      </c>
    </row>
    <row r="1280" spans="1:17" x14ac:dyDescent="0.25">
      <c r="A1280" s="1" t="s">
        <v>362</v>
      </c>
      <c r="B1280" s="31">
        <v>42.4</v>
      </c>
      <c r="C1280" s="1" t="s">
        <v>20</v>
      </c>
      <c r="D1280" s="2">
        <v>42795</v>
      </c>
      <c r="E1280" s="2">
        <v>42795</v>
      </c>
      <c r="F1280" s="17">
        <v>1722000</v>
      </c>
      <c r="G1280" s="17">
        <v>40613.21</v>
      </c>
      <c r="H1280" s="1"/>
      <c r="I1280" s="1" t="s">
        <v>21</v>
      </c>
      <c r="J1280" s="1" t="s">
        <v>22</v>
      </c>
      <c r="K1280" s="1" t="s">
        <v>360</v>
      </c>
      <c r="L1280" s="1" t="s">
        <v>359</v>
      </c>
      <c r="M1280" s="1"/>
      <c r="N1280" s="1" t="s">
        <v>299</v>
      </c>
      <c r="O1280" s="31">
        <v>5</v>
      </c>
      <c r="P1280" s="31">
        <v>2</v>
      </c>
      <c r="Q1280" s="32">
        <v>2002</v>
      </c>
    </row>
    <row r="1281" spans="1:17" x14ac:dyDescent="0.25">
      <c r="A1281" s="1" t="s">
        <v>362</v>
      </c>
      <c r="B1281" s="31">
        <v>42.4</v>
      </c>
      <c r="C1281" s="1" t="s">
        <v>20</v>
      </c>
      <c r="D1281" s="2">
        <v>42795</v>
      </c>
      <c r="E1281" s="2">
        <v>42795</v>
      </c>
      <c r="F1281" s="17">
        <v>1722000</v>
      </c>
      <c r="G1281" s="17">
        <v>40613.21</v>
      </c>
      <c r="H1281" s="1"/>
      <c r="I1281" s="1" t="s">
        <v>21</v>
      </c>
      <c r="J1281" s="1" t="s">
        <v>22</v>
      </c>
      <c r="K1281" s="1" t="s">
        <v>360</v>
      </c>
      <c r="L1281" s="1" t="s">
        <v>359</v>
      </c>
      <c r="M1281" s="1"/>
      <c r="N1281" s="1" t="s">
        <v>299</v>
      </c>
      <c r="O1281" s="31">
        <v>5</v>
      </c>
      <c r="P1281" s="31">
        <v>2</v>
      </c>
      <c r="Q1281" s="32">
        <v>2002</v>
      </c>
    </row>
    <row r="1282" spans="1:17" x14ac:dyDescent="0.25">
      <c r="A1282" s="1" t="s">
        <v>410</v>
      </c>
      <c r="B1282" s="31">
        <v>40.299999999999997</v>
      </c>
      <c r="C1282" s="1" t="s">
        <v>20</v>
      </c>
      <c r="D1282" s="2">
        <v>42705</v>
      </c>
      <c r="E1282" s="2">
        <v>42705</v>
      </c>
      <c r="F1282" s="17">
        <v>1640000</v>
      </c>
      <c r="G1282" s="17">
        <v>40694.79</v>
      </c>
      <c r="H1282" s="1"/>
      <c r="I1282" s="1" t="s">
        <v>21</v>
      </c>
      <c r="J1282" s="1" t="s">
        <v>22</v>
      </c>
      <c r="K1282" s="1" t="s">
        <v>360</v>
      </c>
      <c r="L1282" s="1" t="s">
        <v>359</v>
      </c>
      <c r="M1282" s="1"/>
      <c r="N1282" s="1" t="s">
        <v>128</v>
      </c>
      <c r="O1282" s="31">
        <v>4</v>
      </c>
      <c r="P1282" s="31">
        <v>1</v>
      </c>
      <c r="Q1282" s="32">
        <v>2012</v>
      </c>
    </row>
    <row r="1283" spans="1:17" x14ac:dyDescent="0.25">
      <c r="A1283" s="1" t="s">
        <v>407</v>
      </c>
      <c r="B1283" s="31">
        <v>27.7</v>
      </c>
      <c r="C1283" s="1" t="s">
        <v>20</v>
      </c>
      <c r="D1283" s="2">
        <v>42795</v>
      </c>
      <c r="E1283" s="2">
        <v>42795</v>
      </c>
      <c r="F1283" s="17">
        <v>1128000</v>
      </c>
      <c r="G1283" s="17">
        <v>40722.019999999997</v>
      </c>
      <c r="H1283" s="1"/>
      <c r="I1283" s="1" t="s">
        <v>21</v>
      </c>
      <c r="J1283" s="1" t="s">
        <v>32</v>
      </c>
      <c r="K1283" s="1" t="s">
        <v>360</v>
      </c>
      <c r="L1283" s="1" t="s">
        <v>359</v>
      </c>
      <c r="M1283" s="1"/>
      <c r="N1283" s="1" t="s">
        <v>299</v>
      </c>
      <c r="O1283" s="31">
        <v>3</v>
      </c>
      <c r="P1283" s="31">
        <v>2</v>
      </c>
      <c r="Q1283" s="32">
        <v>2004</v>
      </c>
    </row>
    <row r="1284" spans="1:17" x14ac:dyDescent="0.25">
      <c r="A1284" s="1" t="s">
        <v>407</v>
      </c>
      <c r="B1284" s="31">
        <v>27.7</v>
      </c>
      <c r="C1284" s="1" t="s">
        <v>20</v>
      </c>
      <c r="D1284" s="2">
        <v>42795</v>
      </c>
      <c r="E1284" s="2">
        <v>42795</v>
      </c>
      <c r="F1284" s="17">
        <v>1128000</v>
      </c>
      <c r="G1284" s="17">
        <v>40722.019999999997</v>
      </c>
      <c r="H1284" s="1"/>
      <c r="I1284" s="1" t="s">
        <v>21</v>
      </c>
      <c r="J1284" s="1" t="s">
        <v>32</v>
      </c>
      <c r="K1284" s="1" t="s">
        <v>360</v>
      </c>
      <c r="L1284" s="1" t="s">
        <v>359</v>
      </c>
      <c r="M1284" s="1"/>
      <c r="N1284" s="1" t="s">
        <v>299</v>
      </c>
      <c r="O1284" s="31">
        <v>3</v>
      </c>
      <c r="P1284" s="31">
        <v>2</v>
      </c>
      <c r="Q1284" s="32">
        <v>2004</v>
      </c>
    </row>
    <row r="1285" spans="1:17" x14ac:dyDescent="0.25">
      <c r="A1285" s="1" t="s">
        <v>364</v>
      </c>
      <c r="B1285" s="31">
        <v>55</v>
      </c>
      <c r="C1285" s="1" t="s">
        <v>20</v>
      </c>
      <c r="D1285" s="2">
        <v>42644</v>
      </c>
      <c r="E1285" s="2">
        <v>42644</v>
      </c>
      <c r="F1285" s="17">
        <v>2250000</v>
      </c>
      <c r="G1285" s="17">
        <v>40909.089999999997</v>
      </c>
      <c r="H1285" s="1"/>
      <c r="I1285" s="1" t="s">
        <v>21</v>
      </c>
      <c r="J1285" s="1" t="s">
        <v>22</v>
      </c>
      <c r="K1285" s="1" t="s">
        <v>360</v>
      </c>
      <c r="L1285" s="1" t="s">
        <v>359</v>
      </c>
      <c r="M1285" s="1"/>
      <c r="N1285" s="1"/>
      <c r="O1285" s="31">
        <v>4</v>
      </c>
      <c r="P1285" s="31">
        <v>1</v>
      </c>
      <c r="Q1285" s="32">
        <v>2011</v>
      </c>
    </row>
    <row r="1286" spans="1:17" x14ac:dyDescent="0.25">
      <c r="A1286" s="1" t="s">
        <v>362</v>
      </c>
      <c r="B1286" s="31">
        <v>30.1</v>
      </c>
      <c r="C1286" s="1" t="s">
        <v>20</v>
      </c>
      <c r="D1286" s="2">
        <v>42736</v>
      </c>
      <c r="E1286" s="2">
        <v>42736</v>
      </c>
      <c r="F1286" s="17">
        <v>1240000</v>
      </c>
      <c r="G1286" s="17">
        <v>41196.01</v>
      </c>
      <c r="H1286" s="1"/>
      <c r="I1286" s="1" t="s">
        <v>21</v>
      </c>
      <c r="J1286" s="1" t="s">
        <v>22</v>
      </c>
      <c r="K1286" s="1" t="s">
        <v>360</v>
      </c>
      <c r="L1286" s="1" t="s">
        <v>359</v>
      </c>
      <c r="M1286" s="1"/>
      <c r="N1286" s="1" t="s">
        <v>128</v>
      </c>
      <c r="O1286" s="31">
        <v>5</v>
      </c>
      <c r="P1286" s="31">
        <v>1</v>
      </c>
      <c r="Q1286" s="32">
        <v>2000</v>
      </c>
    </row>
    <row r="1287" spans="1:17" x14ac:dyDescent="0.25">
      <c r="A1287" s="1" t="s">
        <v>391</v>
      </c>
      <c r="B1287" s="31">
        <v>49.8</v>
      </c>
      <c r="C1287" s="1" t="s">
        <v>20</v>
      </c>
      <c r="D1287" s="2">
        <v>42705</v>
      </c>
      <c r="E1287" s="2">
        <v>42705</v>
      </c>
      <c r="F1287" s="17">
        <v>2100000</v>
      </c>
      <c r="G1287" s="17">
        <v>42168.67</v>
      </c>
      <c r="H1287" s="1"/>
      <c r="I1287" s="1" t="s">
        <v>21</v>
      </c>
      <c r="J1287" s="1" t="s">
        <v>32</v>
      </c>
      <c r="K1287" s="1" t="s">
        <v>360</v>
      </c>
      <c r="L1287" s="1" t="s">
        <v>359</v>
      </c>
      <c r="M1287" s="1"/>
      <c r="N1287" s="1" t="s">
        <v>370</v>
      </c>
      <c r="O1287" s="31">
        <v>5</v>
      </c>
      <c r="P1287" s="31">
        <v>2</v>
      </c>
      <c r="Q1287" s="32">
        <v>2003</v>
      </c>
    </row>
    <row r="1288" spans="1:17" x14ac:dyDescent="0.25">
      <c r="A1288" s="1" t="s">
        <v>391</v>
      </c>
      <c r="B1288" s="31">
        <v>49.8</v>
      </c>
      <c r="C1288" s="1" t="s">
        <v>20</v>
      </c>
      <c r="D1288" s="2">
        <v>42705</v>
      </c>
      <c r="E1288" s="2">
        <v>42705</v>
      </c>
      <c r="F1288" s="17">
        <v>2100000</v>
      </c>
      <c r="G1288" s="17">
        <v>42168.67</v>
      </c>
      <c r="H1288" s="1"/>
      <c r="I1288" s="1" t="s">
        <v>21</v>
      </c>
      <c r="J1288" s="1" t="s">
        <v>32</v>
      </c>
      <c r="K1288" s="1" t="s">
        <v>360</v>
      </c>
      <c r="L1288" s="1" t="s">
        <v>359</v>
      </c>
      <c r="M1288" s="1"/>
      <c r="N1288" s="1" t="s">
        <v>370</v>
      </c>
      <c r="O1288" s="31">
        <v>5</v>
      </c>
      <c r="P1288" s="31">
        <v>2</v>
      </c>
      <c r="Q1288" s="32">
        <v>2003</v>
      </c>
    </row>
    <row r="1289" spans="1:17" x14ac:dyDescent="0.25">
      <c r="A1289" s="1" t="s">
        <v>367</v>
      </c>
      <c r="B1289" s="31">
        <v>60.4</v>
      </c>
      <c r="C1289" s="1" t="s">
        <v>20</v>
      </c>
      <c r="D1289" s="2">
        <v>42795</v>
      </c>
      <c r="E1289" s="2">
        <v>42795</v>
      </c>
      <c r="F1289" s="17">
        <v>2550000</v>
      </c>
      <c r="G1289" s="17">
        <v>42218.54</v>
      </c>
      <c r="H1289" s="1"/>
      <c r="I1289" s="1" t="s">
        <v>21</v>
      </c>
      <c r="J1289" s="1" t="s">
        <v>22</v>
      </c>
      <c r="K1289" s="1" t="s">
        <v>360</v>
      </c>
      <c r="L1289" s="1" t="s">
        <v>359</v>
      </c>
      <c r="M1289" s="1"/>
      <c r="N1289" s="1" t="s">
        <v>363</v>
      </c>
      <c r="O1289" s="31">
        <v>8</v>
      </c>
      <c r="P1289" s="31">
        <v>1</v>
      </c>
      <c r="Q1289" s="32">
        <v>2016</v>
      </c>
    </row>
    <row r="1290" spans="1:17" x14ac:dyDescent="0.25">
      <c r="A1290" s="1" t="s">
        <v>362</v>
      </c>
      <c r="B1290" s="31">
        <v>29.3</v>
      </c>
      <c r="C1290" s="1" t="s">
        <v>20</v>
      </c>
      <c r="D1290" s="2">
        <v>42767</v>
      </c>
      <c r="E1290" s="2">
        <v>42767</v>
      </c>
      <c r="F1290" s="17">
        <v>1250000</v>
      </c>
      <c r="G1290" s="17">
        <v>42662.12</v>
      </c>
      <c r="H1290" s="1"/>
      <c r="I1290" s="1" t="s">
        <v>21</v>
      </c>
      <c r="J1290" s="1" t="s">
        <v>22</v>
      </c>
      <c r="K1290" s="1" t="s">
        <v>360</v>
      </c>
      <c r="L1290" s="1" t="s">
        <v>359</v>
      </c>
      <c r="M1290" s="1"/>
      <c r="N1290" s="1" t="s">
        <v>363</v>
      </c>
      <c r="O1290" s="31">
        <v>5</v>
      </c>
      <c r="P1290" s="31">
        <v>2</v>
      </c>
      <c r="Q1290" s="32">
        <v>2006</v>
      </c>
    </row>
    <row r="1291" spans="1:17" x14ac:dyDescent="0.25">
      <c r="A1291" s="1" t="s">
        <v>362</v>
      </c>
      <c r="B1291" s="31">
        <v>29.3</v>
      </c>
      <c r="C1291" s="1" t="s">
        <v>20</v>
      </c>
      <c r="D1291" s="2">
        <v>42767</v>
      </c>
      <c r="E1291" s="2">
        <v>42767</v>
      </c>
      <c r="F1291" s="17">
        <v>1250000</v>
      </c>
      <c r="G1291" s="17">
        <v>42662.12</v>
      </c>
      <c r="H1291" s="1"/>
      <c r="I1291" s="1" t="s">
        <v>21</v>
      </c>
      <c r="J1291" s="1" t="s">
        <v>22</v>
      </c>
      <c r="K1291" s="1" t="s">
        <v>360</v>
      </c>
      <c r="L1291" s="1" t="s">
        <v>359</v>
      </c>
      <c r="M1291" s="1"/>
      <c r="N1291" s="1" t="s">
        <v>363</v>
      </c>
      <c r="O1291" s="31">
        <v>5</v>
      </c>
      <c r="P1291" s="31">
        <v>2</v>
      </c>
      <c r="Q1291" s="32">
        <v>2006</v>
      </c>
    </row>
    <row r="1292" spans="1:17" x14ac:dyDescent="0.25">
      <c r="A1292" s="1" t="s">
        <v>367</v>
      </c>
      <c r="B1292" s="31">
        <v>57.2</v>
      </c>
      <c r="C1292" s="1" t="s">
        <v>20</v>
      </c>
      <c r="D1292" s="2">
        <v>42675</v>
      </c>
      <c r="E1292" s="2">
        <v>42675</v>
      </c>
      <c r="F1292" s="17">
        <v>2450000</v>
      </c>
      <c r="G1292" s="17">
        <v>42832.17</v>
      </c>
      <c r="H1292" s="1"/>
      <c r="I1292" s="1" t="s">
        <v>21</v>
      </c>
      <c r="J1292" s="1" t="s">
        <v>22</v>
      </c>
      <c r="K1292" s="1" t="s">
        <v>360</v>
      </c>
      <c r="L1292" s="1" t="s">
        <v>359</v>
      </c>
      <c r="M1292" s="1"/>
      <c r="N1292" s="1" t="s">
        <v>336</v>
      </c>
      <c r="O1292" s="31">
        <v>9</v>
      </c>
      <c r="P1292" s="31">
        <v>2</v>
      </c>
      <c r="Q1292" s="32">
        <v>2016</v>
      </c>
    </row>
    <row r="1293" spans="1:17" x14ac:dyDescent="0.25">
      <c r="A1293" s="1" t="s">
        <v>367</v>
      </c>
      <c r="B1293" s="31">
        <v>57.2</v>
      </c>
      <c r="C1293" s="1" t="s">
        <v>20</v>
      </c>
      <c r="D1293" s="2">
        <v>42675</v>
      </c>
      <c r="E1293" s="2">
        <v>42675</v>
      </c>
      <c r="F1293" s="17">
        <v>2450000</v>
      </c>
      <c r="G1293" s="17">
        <v>42832.17</v>
      </c>
      <c r="H1293" s="1"/>
      <c r="I1293" s="1" t="s">
        <v>21</v>
      </c>
      <c r="J1293" s="1" t="s">
        <v>22</v>
      </c>
      <c r="K1293" s="1" t="s">
        <v>360</v>
      </c>
      <c r="L1293" s="1" t="s">
        <v>359</v>
      </c>
      <c r="M1293" s="1"/>
      <c r="N1293" s="1" t="s">
        <v>336</v>
      </c>
      <c r="O1293" s="31">
        <v>9</v>
      </c>
      <c r="P1293" s="31">
        <v>2</v>
      </c>
      <c r="Q1293" s="32">
        <v>2016</v>
      </c>
    </row>
    <row r="1294" spans="1:17" x14ac:dyDescent="0.25">
      <c r="A1294" s="1" t="s">
        <v>362</v>
      </c>
      <c r="B1294" s="31">
        <v>29.5</v>
      </c>
      <c r="C1294" s="1" t="s">
        <v>20</v>
      </c>
      <c r="D1294" s="2">
        <v>42644</v>
      </c>
      <c r="E1294" s="2">
        <v>42644</v>
      </c>
      <c r="F1294" s="17">
        <v>1295000</v>
      </c>
      <c r="G1294" s="17">
        <v>43898.31</v>
      </c>
      <c r="H1294" s="1"/>
      <c r="I1294" s="1" t="s">
        <v>21</v>
      </c>
      <c r="J1294" s="1" t="s">
        <v>32</v>
      </c>
      <c r="K1294" s="1" t="s">
        <v>360</v>
      </c>
      <c r="L1294" s="1" t="s">
        <v>359</v>
      </c>
      <c r="M1294" s="1"/>
      <c r="N1294" s="1" t="s">
        <v>128</v>
      </c>
      <c r="O1294" s="31">
        <v>1</v>
      </c>
      <c r="P1294" s="31">
        <v>2</v>
      </c>
      <c r="Q1294" s="32">
        <v>2000</v>
      </c>
    </row>
    <row r="1295" spans="1:17" x14ac:dyDescent="0.25">
      <c r="A1295" s="1" t="s">
        <v>362</v>
      </c>
      <c r="B1295" s="31">
        <v>29.5</v>
      </c>
      <c r="C1295" s="1" t="s">
        <v>20</v>
      </c>
      <c r="D1295" s="2">
        <v>42644</v>
      </c>
      <c r="E1295" s="2">
        <v>42644</v>
      </c>
      <c r="F1295" s="17">
        <v>1295000</v>
      </c>
      <c r="G1295" s="17">
        <v>43898.31</v>
      </c>
      <c r="H1295" s="1"/>
      <c r="I1295" s="1" t="s">
        <v>21</v>
      </c>
      <c r="J1295" s="1" t="s">
        <v>32</v>
      </c>
      <c r="K1295" s="1" t="s">
        <v>360</v>
      </c>
      <c r="L1295" s="1" t="s">
        <v>359</v>
      </c>
      <c r="M1295" s="1"/>
      <c r="N1295" s="1" t="s">
        <v>128</v>
      </c>
      <c r="O1295" s="31">
        <v>1</v>
      </c>
      <c r="P1295" s="31">
        <v>2</v>
      </c>
      <c r="Q1295" s="32">
        <v>2000</v>
      </c>
    </row>
    <row r="1296" spans="1:17" x14ac:dyDescent="0.25">
      <c r="A1296" s="1" t="s">
        <v>366</v>
      </c>
      <c r="B1296" s="31">
        <v>29.8</v>
      </c>
      <c r="C1296" s="1" t="s">
        <v>20</v>
      </c>
      <c r="D1296" s="2">
        <v>42644</v>
      </c>
      <c r="E1296" s="2">
        <v>42644</v>
      </c>
      <c r="F1296" s="17">
        <v>1320000</v>
      </c>
      <c r="G1296" s="17">
        <v>44295.3</v>
      </c>
      <c r="H1296" s="1"/>
      <c r="I1296" s="1" t="s">
        <v>21</v>
      </c>
      <c r="J1296" s="1" t="s">
        <v>22</v>
      </c>
      <c r="K1296" s="1" t="s">
        <v>360</v>
      </c>
      <c r="L1296" s="1" t="s">
        <v>359</v>
      </c>
      <c r="M1296" s="1"/>
      <c r="N1296" s="1"/>
      <c r="O1296" s="31">
        <v>2</v>
      </c>
      <c r="P1296" s="31">
        <v>1</v>
      </c>
      <c r="Q1296" s="32">
        <v>2002</v>
      </c>
    </row>
    <row r="1297" spans="1:17" x14ac:dyDescent="0.25">
      <c r="A1297" s="1" t="s">
        <v>376</v>
      </c>
      <c r="B1297" s="31">
        <v>29.9</v>
      </c>
      <c r="C1297" s="1" t="s">
        <v>20</v>
      </c>
      <c r="D1297" s="2">
        <v>42705</v>
      </c>
      <c r="E1297" s="2">
        <v>42705</v>
      </c>
      <c r="F1297" s="17">
        <v>1330000</v>
      </c>
      <c r="G1297" s="17">
        <v>44481.61</v>
      </c>
      <c r="H1297" s="1"/>
      <c r="I1297" s="1" t="s">
        <v>21</v>
      </c>
      <c r="J1297" s="1" t="s">
        <v>22</v>
      </c>
      <c r="K1297" s="1" t="s">
        <v>360</v>
      </c>
      <c r="L1297" s="1" t="s">
        <v>359</v>
      </c>
      <c r="M1297" s="1"/>
      <c r="N1297" s="1"/>
      <c r="O1297" s="31">
        <v>5</v>
      </c>
      <c r="P1297" s="31">
        <v>2</v>
      </c>
      <c r="Q1297" s="32">
        <v>2011</v>
      </c>
    </row>
    <row r="1298" spans="1:17" x14ac:dyDescent="0.25">
      <c r="A1298" s="1" t="s">
        <v>376</v>
      </c>
      <c r="B1298" s="31">
        <v>29.9</v>
      </c>
      <c r="C1298" s="1" t="s">
        <v>20</v>
      </c>
      <c r="D1298" s="2">
        <v>42705</v>
      </c>
      <c r="E1298" s="2">
        <v>42705</v>
      </c>
      <c r="F1298" s="17">
        <v>1330000</v>
      </c>
      <c r="G1298" s="17">
        <v>44481.61</v>
      </c>
      <c r="H1298" s="1"/>
      <c r="I1298" s="1" t="s">
        <v>21</v>
      </c>
      <c r="J1298" s="1" t="s">
        <v>22</v>
      </c>
      <c r="K1298" s="1" t="s">
        <v>360</v>
      </c>
      <c r="L1298" s="1" t="s">
        <v>359</v>
      </c>
      <c r="M1298" s="1"/>
      <c r="N1298" s="1"/>
      <c r="O1298" s="31">
        <v>5</v>
      </c>
      <c r="P1298" s="31">
        <v>2</v>
      </c>
      <c r="Q1298" s="32">
        <v>2011</v>
      </c>
    </row>
    <row r="1299" spans="1:17" x14ac:dyDescent="0.25">
      <c r="A1299" s="1" t="s">
        <v>384</v>
      </c>
      <c r="B1299" s="31">
        <v>27.8</v>
      </c>
      <c r="C1299" s="1" t="s">
        <v>20</v>
      </c>
      <c r="D1299" s="2">
        <v>42675</v>
      </c>
      <c r="E1299" s="2">
        <v>42705</v>
      </c>
      <c r="F1299" s="17">
        <v>1237288.1399999999</v>
      </c>
      <c r="G1299" s="17">
        <v>44506.77</v>
      </c>
      <c r="H1299" s="1"/>
      <c r="I1299" s="1" t="s">
        <v>21</v>
      </c>
      <c r="J1299" s="1" t="s">
        <v>18</v>
      </c>
      <c r="K1299" s="1" t="s">
        <v>360</v>
      </c>
      <c r="L1299" s="1" t="s">
        <v>359</v>
      </c>
      <c r="M1299" s="1"/>
      <c r="N1299" s="1" t="s">
        <v>128</v>
      </c>
      <c r="O1299" s="31">
        <v>1</v>
      </c>
      <c r="P1299" s="31">
        <v>1</v>
      </c>
      <c r="Q1299" s="32">
        <v>2015</v>
      </c>
    </row>
    <row r="1300" spans="1:17" x14ac:dyDescent="0.25">
      <c r="A1300" s="1" t="s">
        <v>371</v>
      </c>
      <c r="B1300" s="31">
        <v>50.9</v>
      </c>
      <c r="C1300" s="1" t="s">
        <v>20</v>
      </c>
      <c r="D1300" s="2">
        <v>42795</v>
      </c>
      <c r="E1300" s="2">
        <v>42795</v>
      </c>
      <c r="F1300" s="17">
        <v>2280000</v>
      </c>
      <c r="G1300" s="17">
        <v>44793.71</v>
      </c>
      <c r="H1300" s="1"/>
      <c r="I1300" s="1" t="s">
        <v>21</v>
      </c>
      <c r="J1300" s="1" t="s">
        <v>22</v>
      </c>
      <c r="K1300" s="1" t="s">
        <v>360</v>
      </c>
      <c r="L1300" s="1" t="s">
        <v>359</v>
      </c>
      <c r="M1300" s="1"/>
      <c r="N1300" s="1" t="s">
        <v>372</v>
      </c>
      <c r="O1300" s="31">
        <v>2</v>
      </c>
      <c r="P1300" s="31">
        <v>2</v>
      </c>
      <c r="Q1300" s="32">
        <v>2014</v>
      </c>
    </row>
    <row r="1301" spans="1:17" x14ac:dyDescent="0.25">
      <c r="A1301" s="1" t="s">
        <v>371</v>
      </c>
      <c r="B1301" s="31">
        <v>50.9</v>
      </c>
      <c r="C1301" s="1" t="s">
        <v>20</v>
      </c>
      <c r="D1301" s="2">
        <v>42795</v>
      </c>
      <c r="E1301" s="2">
        <v>42795</v>
      </c>
      <c r="F1301" s="17">
        <v>2280000</v>
      </c>
      <c r="G1301" s="17">
        <v>44793.71</v>
      </c>
      <c r="H1301" s="1"/>
      <c r="I1301" s="1" t="s">
        <v>21</v>
      </c>
      <c r="J1301" s="1" t="s">
        <v>22</v>
      </c>
      <c r="K1301" s="1" t="s">
        <v>360</v>
      </c>
      <c r="L1301" s="1" t="s">
        <v>359</v>
      </c>
      <c r="M1301" s="1"/>
      <c r="N1301" s="1" t="s">
        <v>372</v>
      </c>
      <c r="O1301" s="31">
        <v>2</v>
      </c>
      <c r="P1301" s="31">
        <v>2</v>
      </c>
      <c r="Q1301" s="32">
        <v>2014</v>
      </c>
    </row>
    <row r="1302" spans="1:17" x14ac:dyDescent="0.25">
      <c r="A1302" s="1" t="s">
        <v>413</v>
      </c>
      <c r="B1302" s="31">
        <v>43.3</v>
      </c>
      <c r="C1302" s="1" t="s">
        <v>20</v>
      </c>
      <c r="D1302" s="2">
        <v>42767</v>
      </c>
      <c r="E1302" s="2">
        <v>42767</v>
      </c>
      <c r="F1302" s="17">
        <v>1950000</v>
      </c>
      <c r="G1302" s="17">
        <v>45034.64</v>
      </c>
      <c r="H1302" s="1"/>
      <c r="I1302" s="1" t="s">
        <v>21</v>
      </c>
      <c r="J1302" s="1" t="s">
        <v>22</v>
      </c>
      <c r="K1302" s="1" t="s">
        <v>360</v>
      </c>
      <c r="L1302" s="1" t="s">
        <v>359</v>
      </c>
      <c r="M1302" s="1"/>
      <c r="N1302" s="1"/>
      <c r="O1302" s="31">
        <v>2</v>
      </c>
      <c r="P1302" s="31">
        <v>2</v>
      </c>
      <c r="Q1302" s="32">
        <v>2003</v>
      </c>
    </row>
    <row r="1303" spans="1:17" x14ac:dyDescent="0.25">
      <c r="A1303" s="1" t="s">
        <v>413</v>
      </c>
      <c r="B1303" s="31">
        <v>43.3</v>
      </c>
      <c r="C1303" s="1" t="s">
        <v>20</v>
      </c>
      <c r="D1303" s="2">
        <v>42767</v>
      </c>
      <c r="E1303" s="2">
        <v>42767</v>
      </c>
      <c r="F1303" s="17">
        <v>1950000</v>
      </c>
      <c r="G1303" s="17">
        <v>45034.64</v>
      </c>
      <c r="H1303" s="1"/>
      <c r="I1303" s="1" t="s">
        <v>21</v>
      </c>
      <c r="J1303" s="1" t="s">
        <v>22</v>
      </c>
      <c r="K1303" s="1" t="s">
        <v>360</v>
      </c>
      <c r="L1303" s="1" t="s">
        <v>359</v>
      </c>
      <c r="M1303" s="1"/>
      <c r="N1303" s="1"/>
      <c r="O1303" s="31">
        <v>2</v>
      </c>
      <c r="P1303" s="31">
        <v>2</v>
      </c>
      <c r="Q1303" s="32">
        <v>2003</v>
      </c>
    </row>
    <row r="1304" spans="1:17" x14ac:dyDescent="0.25">
      <c r="A1304" s="1" t="s">
        <v>376</v>
      </c>
      <c r="B1304" s="31">
        <v>43.4</v>
      </c>
      <c r="C1304" s="1" t="s">
        <v>20</v>
      </c>
      <c r="D1304" s="2">
        <v>42736</v>
      </c>
      <c r="E1304" s="2">
        <v>42736</v>
      </c>
      <c r="F1304" s="17">
        <v>1970000</v>
      </c>
      <c r="G1304" s="17">
        <v>45391.71</v>
      </c>
      <c r="H1304" s="1"/>
      <c r="I1304" s="1" t="s">
        <v>21</v>
      </c>
      <c r="J1304" s="1" t="s">
        <v>22</v>
      </c>
      <c r="K1304" s="1" t="s">
        <v>360</v>
      </c>
      <c r="L1304" s="1" t="s">
        <v>359</v>
      </c>
      <c r="M1304" s="1"/>
      <c r="N1304" s="1" t="s">
        <v>363</v>
      </c>
      <c r="O1304" s="31">
        <v>3</v>
      </c>
      <c r="P1304" s="31">
        <v>1</v>
      </c>
      <c r="Q1304" s="32">
        <v>2009</v>
      </c>
    </row>
    <row r="1305" spans="1:17" x14ac:dyDescent="0.25">
      <c r="A1305" s="1" t="s">
        <v>362</v>
      </c>
      <c r="B1305" s="31">
        <v>33.9</v>
      </c>
      <c r="C1305" s="1" t="s">
        <v>20</v>
      </c>
      <c r="D1305" s="2">
        <v>42705</v>
      </c>
      <c r="E1305" s="2">
        <v>42705</v>
      </c>
      <c r="F1305" s="17">
        <v>1900000</v>
      </c>
      <c r="G1305" s="17">
        <v>56047.199999999997</v>
      </c>
      <c r="H1305" s="1"/>
      <c r="I1305" s="1" t="s">
        <v>21</v>
      </c>
      <c r="J1305" s="1" t="s">
        <v>22</v>
      </c>
      <c r="K1305" s="1" t="s">
        <v>360</v>
      </c>
      <c r="L1305" s="1" t="s">
        <v>359</v>
      </c>
      <c r="M1305" s="1"/>
      <c r="N1305" s="1" t="s">
        <v>363</v>
      </c>
      <c r="O1305" s="31">
        <v>2</v>
      </c>
      <c r="P1305" s="31">
        <v>1</v>
      </c>
      <c r="Q1305" s="32">
        <v>2016</v>
      </c>
    </row>
    <row r="1306" spans="1:17" s="9" customFormat="1" ht="15.75" thickBot="1" x14ac:dyDescent="0.3">
      <c r="A1306" s="25"/>
      <c r="B1306" s="33"/>
      <c r="C1306" s="25"/>
      <c r="D1306" s="25"/>
      <c r="E1306" s="25"/>
      <c r="F1306" s="26"/>
      <c r="G1306" s="26">
        <f>SUM(G1031:G1305)/275</f>
        <v>28067.251381818169</v>
      </c>
      <c r="H1306" s="25"/>
      <c r="I1306" s="25"/>
      <c r="J1306" s="25"/>
      <c r="K1306" s="25"/>
      <c r="L1306" s="25"/>
      <c r="M1306" s="25"/>
      <c r="N1306" s="25"/>
      <c r="O1306" s="33"/>
      <c r="P1306" s="33"/>
      <c r="Q1306" s="34"/>
    </row>
    <row r="1307" spans="1:17" s="6" customFormat="1" x14ac:dyDescent="0.25">
      <c r="A1307" s="4" t="s">
        <v>417</v>
      </c>
      <c r="B1307" s="35"/>
      <c r="C1307" s="5"/>
      <c r="D1307" s="5"/>
      <c r="E1307" s="5"/>
      <c r="F1307" s="19"/>
      <c r="G1307" s="19"/>
      <c r="H1307" s="5"/>
      <c r="I1307" s="5"/>
      <c r="J1307" s="5"/>
      <c r="K1307" s="5"/>
      <c r="L1307" s="5"/>
      <c r="M1307" s="5"/>
      <c r="N1307" s="5"/>
      <c r="O1307" s="35"/>
      <c r="P1307" s="35"/>
      <c r="Q1307" s="36"/>
    </row>
    <row r="1308" spans="1:17" x14ac:dyDescent="0.25">
      <c r="A1308" s="1" t="s">
        <v>423</v>
      </c>
      <c r="B1308" s="31">
        <v>49.8</v>
      </c>
      <c r="C1308" s="1" t="s">
        <v>20</v>
      </c>
      <c r="D1308" s="2">
        <v>42795</v>
      </c>
      <c r="E1308" s="2">
        <v>42795</v>
      </c>
      <c r="F1308" s="17">
        <v>500000</v>
      </c>
      <c r="G1308" s="17">
        <v>10040.16</v>
      </c>
      <c r="H1308" s="1"/>
      <c r="I1308" s="1" t="s">
        <v>21</v>
      </c>
      <c r="J1308" s="1" t="s">
        <v>22</v>
      </c>
      <c r="K1308" s="1" t="s">
        <v>419</v>
      </c>
      <c r="L1308" s="1" t="s">
        <v>417</v>
      </c>
      <c r="M1308" s="1"/>
      <c r="N1308" s="1"/>
      <c r="O1308" s="31">
        <v>3</v>
      </c>
      <c r="P1308" s="31">
        <v>1</v>
      </c>
      <c r="Q1308" s="32">
        <v>2002</v>
      </c>
    </row>
    <row r="1309" spans="1:17" x14ac:dyDescent="0.25">
      <c r="A1309" s="1" t="s">
        <v>423</v>
      </c>
      <c r="B1309" s="31">
        <v>42.5</v>
      </c>
      <c r="C1309" s="1" t="s">
        <v>20</v>
      </c>
      <c r="D1309" s="2">
        <v>42736</v>
      </c>
      <c r="E1309" s="2">
        <v>42736</v>
      </c>
      <c r="F1309" s="17">
        <v>450000</v>
      </c>
      <c r="G1309" s="17">
        <v>10588.24</v>
      </c>
      <c r="H1309" s="1"/>
      <c r="I1309" s="1" t="s">
        <v>21</v>
      </c>
      <c r="J1309" s="1" t="s">
        <v>32</v>
      </c>
      <c r="K1309" s="1" t="s">
        <v>419</v>
      </c>
      <c r="L1309" s="1" t="s">
        <v>417</v>
      </c>
      <c r="M1309" s="1"/>
      <c r="N1309" s="1" t="s">
        <v>109</v>
      </c>
      <c r="O1309" s="31">
        <v>2</v>
      </c>
      <c r="P1309" s="31">
        <v>1</v>
      </c>
      <c r="Q1309" s="32">
        <v>2013</v>
      </c>
    </row>
    <row r="1310" spans="1:17" x14ac:dyDescent="0.25">
      <c r="A1310" s="1" t="s">
        <v>423</v>
      </c>
      <c r="B1310" s="31">
        <v>41.6</v>
      </c>
      <c r="C1310" s="1" t="s">
        <v>20</v>
      </c>
      <c r="D1310" s="2">
        <v>42644</v>
      </c>
      <c r="E1310" s="2">
        <v>42644</v>
      </c>
      <c r="F1310" s="17">
        <v>453026</v>
      </c>
      <c r="G1310" s="17">
        <v>10890.05</v>
      </c>
      <c r="H1310" s="1"/>
      <c r="I1310" s="1" t="s">
        <v>21</v>
      </c>
      <c r="J1310" s="1" t="s">
        <v>32</v>
      </c>
      <c r="K1310" s="1" t="s">
        <v>419</v>
      </c>
      <c r="L1310" s="1" t="s">
        <v>417</v>
      </c>
      <c r="M1310" s="1"/>
      <c r="N1310" s="1" t="s">
        <v>157</v>
      </c>
      <c r="O1310" s="31">
        <v>2</v>
      </c>
      <c r="P1310" s="31">
        <v>1</v>
      </c>
      <c r="Q1310" s="32">
        <v>2010</v>
      </c>
    </row>
    <row r="1311" spans="1:17" x14ac:dyDescent="0.25">
      <c r="A1311" s="1" t="s">
        <v>424</v>
      </c>
      <c r="B1311" s="31">
        <v>59</v>
      </c>
      <c r="C1311" s="1" t="s">
        <v>20</v>
      </c>
      <c r="D1311" s="2">
        <v>42736</v>
      </c>
      <c r="E1311" s="2">
        <v>42736</v>
      </c>
      <c r="F1311" s="17">
        <v>650000</v>
      </c>
      <c r="G1311" s="17">
        <v>11016.95</v>
      </c>
      <c r="H1311" s="1"/>
      <c r="I1311" s="1" t="s">
        <v>21</v>
      </c>
      <c r="J1311" s="1" t="s">
        <v>32</v>
      </c>
      <c r="K1311" s="1" t="s">
        <v>419</v>
      </c>
      <c r="L1311" s="1" t="s">
        <v>417</v>
      </c>
      <c r="M1311" s="1"/>
      <c r="N1311" s="1" t="s">
        <v>128</v>
      </c>
      <c r="O1311" s="31">
        <v>5</v>
      </c>
      <c r="P1311" s="31">
        <v>1</v>
      </c>
      <c r="Q1311" s="32">
        <v>2002</v>
      </c>
    </row>
    <row r="1312" spans="1:17" x14ac:dyDescent="0.25">
      <c r="A1312" s="1" t="s">
        <v>425</v>
      </c>
      <c r="B1312" s="31">
        <v>34.700000000000003</v>
      </c>
      <c r="C1312" s="1" t="s">
        <v>20</v>
      </c>
      <c r="D1312" s="2">
        <v>42736</v>
      </c>
      <c r="E1312" s="2">
        <v>42736</v>
      </c>
      <c r="F1312" s="17">
        <v>453026</v>
      </c>
      <c r="G1312" s="17">
        <v>13055.5</v>
      </c>
      <c r="H1312" s="1"/>
      <c r="I1312" s="1" t="s">
        <v>21</v>
      </c>
      <c r="J1312" s="1" t="s">
        <v>32</v>
      </c>
      <c r="K1312" s="1" t="s">
        <v>419</v>
      </c>
      <c r="L1312" s="1" t="s">
        <v>417</v>
      </c>
      <c r="M1312" s="1"/>
      <c r="N1312" s="1" t="s">
        <v>426</v>
      </c>
      <c r="O1312" s="31">
        <v>3</v>
      </c>
      <c r="P1312" s="31">
        <v>1</v>
      </c>
      <c r="Q1312" s="32">
        <v>2002</v>
      </c>
    </row>
    <row r="1313" spans="1:17" x14ac:dyDescent="0.25">
      <c r="A1313" s="1" t="s">
        <v>424</v>
      </c>
      <c r="B1313" s="31">
        <v>76.3</v>
      </c>
      <c r="C1313" s="1" t="s">
        <v>20</v>
      </c>
      <c r="D1313" s="2">
        <v>42705</v>
      </c>
      <c r="E1313" s="2">
        <v>42705</v>
      </c>
      <c r="F1313" s="17">
        <v>1000000</v>
      </c>
      <c r="G1313" s="17">
        <v>13106.16</v>
      </c>
      <c r="H1313" s="1"/>
      <c r="I1313" s="1" t="s">
        <v>21</v>
      </c>
      <c r="J1313" s="1" t="s">
        <v>32</v>
      </c>
      <c r="K1313" s="1" t="s">
        <v>419</v>
      </c>
      <c r="L1313" s="1" t="s">
        <v>417</v>
      </c>
      <c r="M1313" s="1"/>
      <c r="N1313" s="1" t="s">
        <v>183</v>
      </c>
      <c r="O1313" s="31">
        <v>4</v>
      </c>
      <c r="P1313" s="31">
        <v>2</v>
      </c>
      <c r="Q1313" s="32">
        <v>2007</v>
      </c>
    </row>
    <row r="1314" spans="1:17" x14ac:dyDescent="0.25">
      <c r="A1314" s="1" t="s">
        <v>424</v>
      </c>
      <c r="B1314" s="31">
        <v>76.3</v>
      </c>
      <c r="C1314" s="1" t="s">
        <v>20</v>
      </c>
      <c r="D1314" s="2">
        <v>42705</v>
      </c>
      <c r="E1314" s="2">
        <v>42705</v>
      </c>
      <c r="F1314" s="17">
        <v>1000000</v>
      </c>
      <c r="G1314" s="17">
        <v>13106.16</v>
      </c>
      <c r="H1314" s="1"/>
      <c r="I1314" s="1" t="s">
        <v>21</v>
      </c>
      <c r="J1314" s="1" t="s">
        <v>32</v>
      </c>
      <c r="K1314" s="1" t="s">
        <v>419</v>
      </c>
      <c r="L1314" s="1" t="s">
        <v>417</v>
      </c>
      <c r="M1314" s="1"/>
      <c r="N1314" s="1" t="s">
        <v>183</v>
      </c>
      <c r="O1314" s="31">
        <v>4</v>
      </c>
      <c r="P1314" s="31">
        <v>2</v>
      </c>
      <c r="Q1314" s="32">
        <v>2007</v>
      </c>
    </row>
    <row r="1315" spans="1:17" x14ac:dyDescent="0.25">
      <c r="A1315" s="1" t="s">
        <v>418</v>
      </c>
      <c r="B1315" s="31">
        <v>32.1</v>
      </c>
      <c r="C1315" s="1" t="s">
        <v>20</v>
      </c>
      <c r="D1315" s="2">
        <v>42705</v>
      </c>
      <c r="E1315" s="2">
        <v>42705</v>
      </c>
      <c r="F1315" s="17">
        <v>453030</v>
      </c>
      <c r="G1315" s="17">
        <v>14113.08</v>
      </c>
      <c r="H1315" s="1"/>
      <c r="I1315" s="1" t="s">
        <v>21</v>
      </c>
      <c r="J1315" s="1" t="s">
        <v>32</v>
      </c>
      <c r="K1315" s="1" t="s">
        <v>419</v>
      </c>
      <c r="L1315" s="1" t="s">
        <v>417</v>
      </c>
      <c r="M1315" s="1"/>
      <c r="N1315" s="1" t="s">
        <v>62</v>
      </c>
      <c r="O1315" s="31">
        <v>2</v>
      </c>
      <c r="P1315" s="31">
        <v>1</v>
      </c>
      <c r="Q1315" s="32">
        <v>2010</v>
      </c>
    </row>
    <row r="1316" spans="1:17" x14ac:dyDescent="0.25">
      <c r="A1316" s="1" t="s">
        <v>423</v>
      </c>
      <c r="B1316" s="31">
        <v>31.3</v>
      </c>
      <c r="C1316" s="1" t="s">
        <v>20</v>
      </c>
      <c r="D1316" s="2">
        <v>42795</v>
      </c>
      <c r="E1316" s="2">
        <v>42795</v>
      </c>
      <c r="F1316" s="17">
        <v>453030</v>
      </c>
      <c r="G1316" s="17">
        <v>14473.8</v>
      </c>
      <c r="H1316" s="1"/>
      <c r="I1316" s="1" t="s">
        <v>21</v>
      </c>
      <c r="J1316" s="1" t="s">
        <v>32</v>
      </c>
      <c r="K1316" s="1" t="s">
        <v>419</v>
      </c>
      <c r="L1316" s="1" t="s">
        <v>417</v>
      </c>
      <c r="M1316" s="1"/>
      <c r="N1316" s="1" t="s">
        <v>157</v>
      </c>
      <c r="O1316" s="31">
        <v>1</v>
      </c>
      <c r="P1316" s="31">
        <v>1</v>
      </c>
      <c r="Q1316" s="32">
        <v>2004</v>
      </c>
    </row>
    <row r="1317" spans="1:17" x14ac:dyDescent="0.25">
      <c r="A1317" s="1" t="s">
        <v>425</v>
      </c>
      <c r="B1317" s="31">
        <v>30.5</v>
      </c>
      <c r="C1317" s="1" t="s">
        <v>20</v>
      </c>
      <c r="D1317" s="2">
        <v>42644</v>
      </c>
      <c r="E1317" s="2">
        <v>42644</v>
      </c>
      <c r="F1317" s="17">
        <v>453026</v>
      </c>
      <c r="G1317" s="17">
        <v>14853.31</v>
      </c>
      <c r="H1317" s="1"/>
      <c r="I1317" s="1" t="s">
        <v>21</v>
      </c>
      <c r="J1317" s="1" t="s">
        <v>32</v>
      </c>
      <c r="K1317" s="1" t="s">
        <v>419</v>
      </c>
      <c r="L1317" s="1" t="s">
        <v>417</v>
      </c>
      <c r="M1317" s="1"/>
      <c r="N1317" s="1" t="s">
        <v>426</v>
      </c>
      <c r="O1317" s="31">
        <v>2</v>
      </c>
      <c r="P1317" s="31">
        <v>1</v>
      </c>
      <c r="Q1317" s="32">
        <v>2008</v>
      </c>
    </row>
    <row r="1318" spans="1:17" x14ac:dyDescent="0.25">
      <c r="A1318" s="1" t="s">
        <v>423</v>
      </c>
      <c r="B1318" s="31">
        <v>31.2</v>
      </c>
      <c r="C1318" s="1" t="s">
        <v>20</v>
      </c>
      <c r="D1318" s="2">
        <v>42736</v>
      </c>
      <c r="E1318" s="2">
        <v>42736</v>
      </c>
      <c r="F1318" s="17">
        <v>500000</v>
      </c>
      <c r="G1318" s="17">
        <v>16025.64</v>
      </c>
      <c r="H1318" s="1"/>
      <c r="I1318" s="1" t="s">
        <v>21</v>
      </c>
      <c r="J1318" s="1" t="s">
        <v>22</v>
      </c>
      <c r="K1318" s="1" t="s">
        <v>419</v>
      </c>
      <c r="L1318" s="1" t="s">
        <v>417</v>
      </c>
      <c r="M1318" s="1"/>
      <c r="N1318" s="1" t="s">
        <v>157</v>
      </c>
      <c r="O1318" s="31">
        <v>4</v>
      </c>
      <c r="P1318" s="31">
        <v>1</v>
      </c>
      <c r="Q1318" s="32">
        <v>2015</v>
      </c>
    </row>
    <row r="1319" spans="1:17" x14ac:dyDescent="0.25">
      <c r="A1319" s="1" t="s">
        <v>424</v>
      </c>
      <c r="B1319" s="31">
        <v>50.7</v>
      </c>
      <c r="C1319" s="1" t="s">
        <v>20</v>
      </c>
      <c r="D1319" s="2">
        <v>42675</v>
      </c>
      <c r="E1319" s="2">
        <v>42675</v>
      </c>
      <c r="F1319" s="17">
        <v>850000</v>
      </c>
      <c r="G1319" s="17">
        <v>16765.29</v>
      </c>
      <c r="H1319" s="1"/>
      <c r="I1319" s="1" t="s">
        <v>21</v>
      </c>
      <c r="J1319" s="1" t="s">
        <v>32</v>
      </c>
      <c r="K1319" s="1" t="s">
        <v>419</v>
      </c>
      <c r="L1319" s="1" t="s">
        <v>417</v>
      </c>
      <c r="M1319" s="1"/>
      <c r="N1319" s="1" t="s">
        <v>128</v>
      </c>
      <c r="O1319" s="31">
        <v>1</v>
      </c>
      <c r="P1319" s="31">
        <v>2</v>
      </c>
      <c r="Q1319" s="32">
        <v>2003</v>
      </c>
    </row>
    <row r="1320" spans="1:17" x14ac:dyDescent="0.25">
      <c r="A1320" s="1" t="s">
        <v>424</v>
      </c>
      <c r="B1320" s="31">
        <v>50.7</v>
      </c>
      <c r="C1320" s="1" t="s">
        <v>20</v>
      </c>
      <c r="D1320" s="2">
        <v>42675</v>
      </c>
      <c r="E1320" s="2">
        <v>42675</v>
      </c>
      <c r="F1320" s="17">
        <v>850000</v>
      </c>
      <c r="G1320" s="17">
        <v>16765.29</v>
      </c>
      <c r="H1320" s="1"/>
      <c r="I1320" s="1" t="s">
        <v>21</v>
      </c>
      <c r="J1320" s="1" t="s">
        <v>32</v>
      </c>
      <c r="K1320" s="1" t="s">
        <v>419</v>
      </c>
      <c r="L1320" s="1" t="s">
        <v>417</v>
      </c>
      <c r="M1320" s="1"/>
      <c r="N1320" s="1" t="s">
        <v>128</v>
      </c>
      <c r="O1320" s="31">
        <v>1</v>
      </c>
      <c r="P1320" s="31">
        <v>2</v>
      </c>
      <c r="Q1320" s="32">
        <v>2003</v>
      </c>
    </row>
    <row r="1321" spans="1:17" x14ac:dyDescent="0.25">
      <c r="A1321" s="1" t="s">
        <v>425</v>
      </c>
      <c r="B1321" s="31">
        <v>30.4</v>
      </c>
      <c r="C1321" s="1" t="s">
        <v>20</v>
      </c>
      <c r="D1321" s="2">
        <v>42795</v>
      </c>
      <c r="E1321" s="2">
        <v>42795</v>
      </c>
      <c r="F1321" s="17">
        <v>510000</v>
      </c>
      <c r="G1321" s="17">
        <v>16776.32</v>
      </c>
      <c r="H1321" s="1"/>
      <c r="I1321" s="1" t="s">
        <v>21</v>
      </c>
      <c r="J1321" s="1" t="s">
        <v>32</v>
      </c>
      <c r="K1321" s="1" t="s">
        <v>419</v>
      </c>
      <c r="L1321" s="1" t="s">
        <v>417</v>
      </c>
      <c r="M1321" s="1"/>
      <c r="N1321" s="1"/>
      <c r="O1321" s="31">
        <v>2</v>
      </c>
      <c r="P1321" s="31">
        <v>1</v>
      </c>
      <c r="Q1321" s="32">
        <v>2015</v>
      </c>
    </row>
    <row r="1322" spans="1:17" x14ac:dyDescent="0.25">
      <c r="A1322" s="1" t="s">
        <v>425</v>
      </c>
      <c r="B1322" s="31">
        <v>42.5</v>
      </c>
      <c r="C1322" s="1" t="s">
        <v>20</v>
      </c>
      <c r="D1322" s="2">
        <v>42795</v>
      </c>
      <c r="E1322" s="2">
        <v>42795</v>
      </c>
      <c r="F1322" s="17">
        <v>720000</v>
      </c>
      <c r="G1322" s="17">
        <v>16941.18</v>
      </c>
      <c r="H1322" s="1"/>
      <c r="I1322" s="1" t="s">
        <v>21</v>
      </c>
      <c r="J1322" s="1" t="s">
        <v>22</v>
      </c>
      <c r="K1322" s="1" t="s">
        <v>419</v>
      </c>
      <c r="L1322" s="1" t="s">
        <v>417</v>
      </c>
      <c r="M1322" s="1"/>
      <c r="N1322" s="1" t="s">
        <v>426</v>
      </c>
      <c r="O1322" s="31">
        <v>2</v>
      </c>
      <c r="P1322" s="31">
        <v>1</v>
      </c>
      <c r="Q1322" s="32">
        <v>2016</v>
      </c>
    </row>
    <row r="1323" spans="1:17" x14ac:dyDescent="0.25">
      <c r="A1323" s="1" t="s">
        <v>425</v>
      </c>
      <c r="B1323" s="31">
        <v>58.2</v>
      </c>
      <c r="C1323" s="1" t="s">
        <v>20</v>
      </c>
      <c r="D1323" s="2">
        <v>42767</v>
      </c>
      <c r="E1323" s="2">
        <v>42795</v>
      </c>
      <c r="F1323" s="17">
        <v>1000000</v>
      </c>
      <c r="G1323" s="17">
        <v>17182.13</v>
      </c>
      <c r="H1323" s="1"/>
      <c r="I1323" s="1" t="s">
        <v>21</v>
      </c>
      <c r="J1323" s="1" t="s">
        <v>32</v>
      </c>
      <c r="K1323" s="1" t="s">
        <v>419</v>
      </c>
      <c r="L1323" s="1" t="s">
        <v>417</v>
      </c>
      <c r="M1323" s="1"/>
      <c r="N1323" s="1" t="s">
        <v>128</v>
      </c>
      <c r="O1323" s="31">
        <v>2</v>
      </c>
      <c r="P1323" s="31">
        <v>1</v>
      </c>
      <c r="Q1323" s="32">
        <v>2001</v>
      </c>
    </row>
    <row r="1324" spans="1:17" x14ac:dyDescent="0.25">
      <c r="A1324" s="1" t="s">
        <v>420</v>
      </c>
      <c r="B1324" s="31">
        <v>36.4</v>
      </c>
      <c r="C1324" s="1" t="s">
        <v>20</v>
      </c>
      <c r="D1324" s="2">
        <v>42705</v>
      </c>
      <c r="E1324" s="2">
        <v>42705</v>
      </c>
      <c r="F1324" s="17">
        <v>643914</v>
      </c>
      <c r="G1324" s="17">
        <v>17689.95</v>
      </c>
      <c r="H1324" s="1"/>
      <c r="I1324" s="1" t="s">
        <v>21</v>
      </c>
      <c r="J1324" s="1" t="s">
        <v>22</v>
      </c>
      <c r="K1324" s="1" t="s">
        <v>419</v>
      </c>
      <c r="L1324" s="1" t="s">
        <v>417</v>
      </c>
      <c r="M1324" s="1"/>
      <c r="N1324" s="1"/>
      <c r="O1324" s="31">
        <v>2</v>
      </c>
      <c r="P1324" s="31">
        <v>1</v>
      </c>
      <c r="Q1324" s="32">
        <v>2016</v>
      </c>
    </row>
    <row r="1325" spans="1:17" x14ac:dyDescent="0.25">
      <c r="A1325" s="1" t="s">
        <v>418</v>
      </c>
      <c r="B1325" s="31">
        <v>38.299999999999997</v>
      </c>
      <c r="C1325" s="1" t="s">
        <v>20</v>
      </c>
      <c r="D1325" s="2">
        <v>42675</v>
      </c>
      <c r="E1325" s="2">
        <v>42675</v>
      </c>
      <c r="F1325" s="17">
        <v>700000</v>
      </c>
      <c r="G1325" s="17">
        <v>18276.759999999998</v>
      </c>
      <c r="H1325" s="1"/>
      <c r="I1325" s="1" t="s">
        <v>21</v>
      </c>
      <c r="J1325" s="1" t="s">
        <v>32</v>
      </c>
      <c r="K1325" s="1" t="s">
        <v>419</v>
      </c>
      <c r="L1325" s="1" t="s">
        <v>417</v>
      </c>
      <c r="M1325" s="1"/>
      <c r="N1325" s="1" t="s">
        <v>183</v>
      </c>
      <c r="O1325" s="31">
        <v>2</v>
      </c>
      <c r="P1325" s="31">
        <v>1</v>
      </c>
      <c r="Q1325" s="32">
        <v>2011</v>
      </c>
    </row>
    <row r="1326" spans="1:17" x14ac:dyDescent="0.25">
      <c r="A1326" s="1" t="s">
        <v>423</v>
      </c>
      <c r="B1326" s="31">
        <v>48</v>
      </c>
      <c r="C1326" s="1" t="s">
        <v>20</v>
      </c>
      <c r="D1326" s="2">
        <v>42736</v>
      </c>
      <c r="E1326" s="2">
        <v>42736</v>
      </c>
      <c r="F1326" s="17">
        <v>900000</v>
      </c>
      <c r="G1326" s="17">
        <v>18750</v>
      </c>
      <c r="H1326" s="1"/>
      <c r="I1326" s="1" t="s">
        <v>21</v>
      </c>
      <c r="J1326" s="1" t="s">
        <v>32</v>
      </c>
      <c r="K1326" s="1" t="s">
        <v>419</v>
      </c>
      <c r="L1326" s="1" t="s">
        <v>417</v>
      </c>
      <c r="M1326" s="1"/>
      <c r="N1326" s="1"/>
      <c r="O1326" s="31">
        <v>2</v>
      </c>
      <c r="P1326" s="31">
        <v>1</v>
      </c>
      <c r="Q1326" s="32">
        <v>2007</v>
      </c>
    </row>
    <row r="1327" spans="1:17" x14ac:dyDescent="0.25">
      <c r="A1327" s="1" t="s">
        <v>423</v>
      </c>
      <c r="B1327" s="31">
        <v>48.7</v>
      </c>
      <c r="C1327" s="1" t="s">
        <v>20</v>
      </c>
      <c r="D1327" s="2">
        <v>42736</v>
      </c>
      <c r="E1327" s="2">
        <v>42736</v>
      </c>
      <c r="F1327" s="17">
        <v>919000</v>
      </c>
      <c r="G1327" s="17">
        <v>18870.64</v>
      </c>
      <c r="H1327" s="1"/>
      <c r="I1327" s="1" t="s">
        <v>21</v>
      </c>
      <c r="J1327" s="1" t="s">
        <v>32</v>
      </c>
      <c r="K1327" s="1" t="s">
        <v>419</v>
      </c>
      <c r="L1327" s="1" t="s">
        <v>417</v>
      </c>
      <c r="M1327" s="1"/>
      <c r="N1327" s="1"/>
      <c r="O1327" s="31">
        <v>4</v>
      </c>
      <c r="P1327" s="31">
        <v>2</v>
      </c>
      <c r="Q1327" s="32">
        <v>2008</v>
      </c>
    </row>
    <row r="1328" spans="1:17" x14ac:dyDescent="0.25">
      <c r="A1328" s="1" t="s">
        <v>423</v>
      </c>
      <c r="B1328" s="31">
        <v>48.7</v>
      </c>
      <c r="C1328" s="1" t="s">
        <v>20</v>
      </c>
      <c r="D1328" s="2">
        <v>42736</v>
      </c>
      <c r="E1328" s="2">
        <v>42736</v>
      </c>
      <c r="F1328" s="17">
        <v>919000</v>
      </c>
      <c r="G1328" s="17">
        <v>18870.64</v>
      </c>
      <c r="H1328" s="1"/>
      <c r="I1328" s="1" t="s">
        <v>21</v>
      </c>
      <c r="J1328" s="1" t="s">
        <v>32</v>
      </c>
      <c r="K1328" s="1" t="s">
        <v>419</v>
      </c>
      <c r="L1328" s="1" t="s">
        <v>417</v>
      </c>
      <c r="M1328" s="1"/>
      <c r="N1328" s="1"/>
      <c r="O1328" s="31">
        <v>4</v>
      </c>
      <c r="P1328" s="31">
        <v>2</v>
      </c>
      <c r="Q1328" s="32">
        <v>2008</v>
      </c>
    </row>
    <row r="1329" spans="1:17" x14ac:dyDescent="0.25">
      <c r="A1329" s="1" t="s">
        <v>430</v>
      </c>
      <c r="B1329" s="31">
        <v>59.1</v>
      </c>
      <c r="C1329" s="1" t="s">
        <v>20</v>
      </c>
      <c r="D1329" s="2">
        <v>42675</v>
      </c>
      <c r="E1329" s="2">
        <v>42675</v>
      </c>
      <c r="F1329" s="17">
        <v>1200000</v>
      </c>
      <c r="G1329" s="17">
        <v>20304.57</v>
      </c>
      <c r="H1329" s="1"/>
      <c r="I1329" s="1" t="s">
        <v>21</v>
      </c>
      <c r="J1329" s="1" t="s">
        <v>18</v>
      </c>
      <c r="K1329" s="1" t="s">
        <v>419</v>
      </c>
      <c r="L1329" s="1" t="s">
        <v>417</v>
      </c>
      <c r="M1329" s="1"/>
      <c r="N1329" s="1" t="s">
        <v>429</v>
      </c>
      <c r="O1329" s="31">
        <v>4</v>
      </c>
      <c r="P1329" s="31">
        <v>2</v>
      </c>
      <c r="Q1329" s="32">
        <v>2007</v>
      </c>
    </row>
    <row r="1330" spans="1:17" x14ac:dyDescent="0.25">
      <c r="A1330" s="1" t="s">
        <v>430</v>
      </c>
      <c r="B1330" s="31">
        <v>59.1</v>
      </c>
      <c r="C1330" s="1" t="s">
        <v>20</v>
      </c>
      <c r="D1330" s="2">
        <v>42675</v>
      </c>
      <c r="E1330" s="2">
        <v>42675</v>
      </c>
      <c r="F1330" s="17">
        <v>1200000</v>
      </c>
      <c r="G1330" s="17">
        <v>20304.57</v>
      </c>
      <c r="H1330" s="1"/>
      <c r="I1330" s="1" t="s">
        <v>21</v>
      </c>
      <c r="J1330" s="1" t="s">
        <v>18</v>
      </c>
      <c r="K1330" s="1" t="s">
        <v>419</v>
      </c>
      <c r="L1330" s="1" t="s">
        <v>417</v>
      </c>
      <c r="M1330" s="1"/>
      <c r="N1330" s="1" t="s">
        <v>429</v>
      </c>
      <c r="O1330" s="31">
        <v>4</v>
      </c>
      <c r="P1330" s="31">
        <v>2</v>
      </c>
      <c r="Q1330" s="32">
        <v>2007</v>
      </c>
    </row>
    <row r="1331" spans="1:17" x14ac:dyDescent="0.25">
      <c r="A1331" s="1" t="s">
        <v>423</v>
      </c>
      <c r="B1331" s="31">
        <v>44.8</v>
      </c>
      <c r="C1331" s="1" t="s">
        <v>20</v>
      </c>
      <c r="D1331" s="2">
        <v>42675</v>
      </c>
      <c r="E1331" s="2">
        <v>42675</v>
      </c>
      <c r="F1331" s="17">
        <v>940000</v>
      </c>
      <c r="G1331" s="17">
        <v>20982.14</v>
      </c>
      <c r="H1331" s="1"/>
      <c r="I1331" s="1" t="s">
        <v>21</v>
      </c>
      <c r="J1331" s="1" t="s">
        <v>22</v>
      </c>
      <c r="K1331" s="1" t="s">
        <v>419</v>
      </c>
      <c r="L1331" s="1" t="s">
        <v>417</v>
      </c>
      <c r="M1331" s="1"/>
      <c r="N1331" s="1" t="s">
        <v>432</v>
      </c>
      <c r="O1331" s="31">
        <v>3</v>
      </c>
      <c r="P1331" s="31">
        <v>2</v>
      </c>
      <c r="Q1331" s="32">
        <v>2001</v>
      </c>
    </row>
    <row r="1332" spans="1:17" x14ac:dyDescent="0.25">
      <c r="A1332" s="1" t="s">
        <v>423</v>
      </c>
      <c r="B1332" s="31">
        <v>44.8</v>
      </c>
      <c r="C1332" s="1" t="s">
        <v>20</v>
      </c>
      <c r="D1332" s="2">
        <v>42675</v>
      </c>
      <c r="E1332" s="2">
        <v>42675</v>
      </c>
      <c r="F1332" s="17">
        <v>940000</v>
      </c>
      <c r="G1332" s="17">
        <v>20982.14</v>
      </c>
      <c r="H1332" s="1"/>
      <c r="I1332" s="1" t="s">
        <v>21</v>
      </c>
      <c r="J1332" s="1" t="s">
        <v>22</v>
      </c>
      <c r="K1332" s="1" t="s">
        <v>419</v>
      </c>
      <c r="L1332" s="1" t="s">
        <v>417</v>
      </c>
      <c r="M1332" s="1"/>
      <c r="N1332" s="1" t="s">
        <v>432</v>
      </c>
      <c r="O1332" s="31">
        <v>3</v>
      </c>
      <c r="P1332" s="31">
        <v>2</v>
      </c>
      <c r="Q1332" s="32">
        <v>2001</v>
      </c>
    </row>
    <row r="1333" spans="1:17" x14ac:dyDescent="0.25">
      <c r="A1333" s="1" t="s">
        <v>423</v>
      </c>
      <c r="B1333" s="31">
        <v>61.6</v>
      </c>
      <c r="C1333" s="1" t="s">
        <v>20</v>
      </c>
      <c r="D1333" s="2">
        <v>42795</v>
      </c>
      <c r="E1333" s="2">
        <v>42795</v>
      </c>
      <c r="F1333" s="17">
        <v>1300000</v>
      </c>
      <c r="G1333" s="17">
        <v>21103.9</v>
      </c>
      <c r="H1333" s="1"/>
      <c r="I1333" s="1" t="s">
        <v>21</v>
      </c>
      <c r="J1333" s="1" t="s">
        <v>32</v>
      </c>
      <c r="K1333" s="1" t="s">
        <v>419</v>
      </c>
      <c r="L1333" s="1" t="s">
        <v>417</v>
      </c>
      <c r="M1333" s="1"/>
      <c r="N1333" s="1" t="s">
        <v>128</v>
      </c>
      <c r="O1333" s="31">
        <v>5</v>
      </c>
      <c r="P1333" s="31">
        <v>1</v>
      </c>
      <c r="Q1333" s="32">
        <v>2005</v>
      </c>
    </row>
    <row r="1334" spans="1:17" x14ac:dyDescent="0.25">
      <c r="A1334" s="1" t="s">
        <v>421</v>
      </c>
      <c r="B1334" s="31">
        <v>46.2</v>
      </c>
      <c r="C1334" s="1" t="s">
        <v>20</v>
      </c>
      <c r="D1334" s="2">
        <v>42705</v>
      </c>
      <c r="E1334" s="2">
        <v>42705</v>
      </c>
      <c r="F1334" s="17">
        <v>1000000</v>
      </c>
      <c r="G1334" s="17">
        <v>21645.02</v>
      </c>
      <c r="H1334" s="1"/>
      <c r="I1334" s="1" t="s">
        <v>21</v>
      </c>
      <c r="J1334" s="1" t="s">
        <v>32</v>
      </c>
      <c r="K1334" s="1" t="s">
        <v>419</v>
      </c>
      <c r="L1334" s="1" t="s">
        <v>417</v>
      </c>
      <c r="M1334" s="1"/>
      <c r="N1334" s="1" t="s">
        <v>431</v>
      </c>
      <c r="O1334" s="31">
        <v>1</v>
      </c>
      <c r="P1334" s="31">
        <v>1</v>
      </c>
      <c r="Q1334" s="32">
        <v>2002</v>
      </c>
    </row>
    <row r="1335" spans="1:17" x14ac:dyDescent="0.25">
      <c r="A1335" s="1" t="s">
        <v>418</v>
      </c>
      <c r="B1335" s="31">
        <v>36.6</v>
      </c>
      <c r="C1335" s="1" t="s">
        <v>20</v>
      </c>
      <c r="D1335" s="2">
        <v>42795</v>
      </c>
      <c r="E1335" s="2">
        <v>42795</v>
      </c>
      <c r="F1335" s="17">
        <v>800000</v>
      </c>
      <c r="G1335" s="17">
        <v>21857.919999999998</v>
      </c>
      <c r="H1335" s="1"/>
      <c r="I1335" s="1" t="s">
        <v>21</v>
      </c>
      <c r="J1335" s="1" t="s">
        <v>32</v>
      </c>
      <c r="K1335" s="1" t="s">
        <v>419</v>
      </c>
      <c r="L1335" s="1" t="s">
        <v>417</v>
      </c>
      <c r="M1335" s="1"/>
      <c r="N1335" s="1" t="s">
        <v>62</v>
      </c>
      <c r="O1335" s="31">
        <v>1</v>
      </c>
      <c r="P1335" s="31">
        <v>1</v>
      </c>
      <c r="Q1335" s="32">
        <v>2013</v>
      </c>
    </row>
    <row r="1336" spans="1:17" x14ac:dyDescent="0.25">
      <c r="A1336" s="1" t="s">
        <v>418</v>
      </c>
      <c r="B1336" s="31">
        <v>33.1</v>
      </c>
      <c r="C1336" s="1" t="s">
        <v>20</v>
      </c>
      <c r="D1336" s="2">
        <v>42736</v>
      </c>
      <c r="E1336" s="2">
        <v>42736</v>
      </c>
      <c r="F1336" s="17">
        <v>750000</v>
      </c>
      <c r="G1336" s="17">
        <v>22658.61</v>
      </c>
      <c r="H1336" s="1"/>
      <c r="I1336" s="1" t="s">
        <v>21</v>
      </c>
      <c r="J1336" s="1" t="s">
        <v>32</v>
      </c>
      <c r="K1336" s="1" t="s">
        <v>419</v>
      </c>
      <c r="L1336" s="1" t="s">
        <v>417</v>
      </c>
      <c r="M1336" s="1"/>
      <c r="N1336" s="1" t="s">
        <v>62</v>
      </c>
      <c r="O1336" s="31">
        <v>5</v>
      </c>
      <c r="P1336" s="31">
        <v>1</v>
      </c>
      <c r="Q1336" s="32">
        <v>2007</v>
      </c>
    </row>
    <row r="1337" spans="1:17" x14ac:dyDescent="0.25">
      <c r="A1337" s="1" t="s">
        <v>424</v>
      </c>
      <c r="B1337" s="31">
        <v>32.799999999999997</v>
      </c>
      <c r="C1337" s="1" t="s">
        <v>20</v>
      </c>
      <c r="D1337" s="2">
        <v>42675</v>
      </c>
      <c r="E1337" s="2">
        <v>42675</v>
      </c>
      <c r="F1337" s="17">
        <v>757000</v>
      </c>
      <c r="G1337" s="17">
        <v>23079.27</v>
      </c>
      <c r="H1337" s="1"/>
      <c r="I1337" s="1" t="s">
        <v>21</v>
      </c>
      <c r="J1337" s="1" t="s">
        <v>32</v>
      </c>
      <c r="K1337" s="1" t="s">
        <v>419</v>
      </c>
      <c r="L1337" s="1" t="s">
        <v>417</v>
      </c>
      <c r="M1337" s="1"/>
      <c r="N1337" s="1"/>
      <c r="O1337" s="31">
        <v>4</v>
      </c>
      <c r="P1337" s="31">
        <v>1</v>
      </c>
      <c r="Q1337" s="32">
        <v>2003</v>
      </c>
    </row>
    <row r="1338" spans="1:17" x14ac:dyDescent="0.25">
      <c r="A1338" s="1" t="s">
        <v>425</v>
      </c>
      <c r="B1338" s="31">
        <v>29.9</v>
      </c>
      <c r="C1338" s="1" t="s">
        <v>20</v>
      </c>
      <c r="D1338" s="2">
        <v>42705</v>
      </c>
      <c r="E1338" s="2">
        <v>42705</v>
      </c>
      <c r="F1338" s="17">
        <v>700229</v>
      </c>
      <c r="G1338" s="17">
        <v>23419.03</v>
      </c>
      <c r="H1338" s="1"/>
      <c r="I1338" s="1" t="s">
        <v>21</v>
      </c>
      <c r="J1338" s="1" t="s">
        <v>32</v>
      </c>
      <c r="K1338" s="1" t="s">
        <v>419</v>
      </c>
      <c r="L1338" s="1" t="s">
        <v>417</v>
      </c>
      <c r="M1338" s="1"/>
      <c r="N1338" s="1" t="s">
        <v>128</v>
      </c>
      <c r="O1338" s="31">
        <v>4</v>
      </c>
      <c r="P1338" s="31">
        <v>1</v>
      </c>
      <c r="Q1338" s="32">
        <v>2000</v>
      </c>
    </row>
    <row r="1339" spans="1:17" x14ac:dyDescent="0.25">
      <c r="A1339" s="1" t="s">
        <v>423</v>
      </c>
      <c r="B1339" s="31">
        <v>32.299999999999997</v>
      </c>
      <c r="C1339" s="1" t="s">
        <v>20</v>
      </c>
      <c r="D1339" s="2">
        <v>42736</v>
      </c>
      <c r="E1339" s="2">
        <v>42767</v>
      </c>
      <c r="F1339" s="17">
        <v>800000</v>
      </c>
      <c r="G1339" s="17">
        <v>24767.8</v>
      </c>
      <c r="H1339" s="1"/>
      <c r="I1339" s="1" t="s">
        <v>21</v>
      </c>
      <c r="J1339" s="1" t="s">
        <v>32</v>
      </c>
      <c r="K1339" s="1" t="s">
        <v>419</v>
      </c>
      <c r="L1339" s="1" t="s">
        <v>417</v>
      </c>
      <c r="M1339" s="1"/>
      <c r="N1339" s="1" t="s">
        <v>62</v>
      </c>
      <c r="O1339" s="31">
        <v>5</v>
      </c>
      <c r="P1339" s="31">
        <v>1</v>
      </c>
      <c r="Q1339" s="32">
        <v>2003</v>
      </c>
    </row>
    <row r="1340" spans="1:17" x14ac:dyDescent="0.25">
      <c r="A1340" s="1" t="s">
        <v>423</v>
      </c>
      <c r="B1340" s="31">
        <v>29.8</v>
      </c>
      <c r="C1340" s="1" t="s">
        <v>20</v>
      </c>
      <c r="D1340" s="2">
        <v>42736</v>
      </c>
      <c r="E1340" s="2">
        <v>42736</v>
      </c>
      <c r="F1340" s="17">
        <v>750000</v>
      </c>
      <c r="G1340" s="17">
        <v>25167.79</v>
      </c>
      <c r="H1340" s="1"/>
      <c r="I1340" s="1" t="s">
        <v>21</v>
      </c>
      <c r="J1340" s="1" t="s">
        <v>32</v>
      </c>
      <c r="K1340" s="1" t="s">
        <v>419</v>
      </c>
      <c r="L1340" s="1" t="s">
        <v>417</v>
      </c>
      <c r="M1340" s="1"/>
      <c r="N1340" s="1" t="s">
        <v>434</v>
      </c>
      <c r="O1340" s="31">
        <v>3</v>
      </c>
      <c r="P1340" s="31">
        <v>1</v>
      </c>
      <c r="Q1340" s="32">
        <v>2014</v>
      </c>
    </row>
    <row r="1341" spans="1:17" x14ac:dyDescent="0.25">
      <c r="A1341" s="1" t="s">
        <v>424</v>
      </c>
      <c r="B1341" s="31">
        <v>33.5</v>
      </c>
      <c r="C1341" s="1" t="s">
        <v>20</v>
      </c>
      <c r="D1341" s="2">
        <v>42795</v>
      </c>
      <c r="E1341" s="2">
        <v>42795</v>
      </c>
      <c r="F1341" s="17">
        <v>850000</v>
      </c>
      <c r="G1341" s="17">
        <v>25373.13</v>
      </c>
      <c r="H1341" s="1"/>
      <c r="I1341" s="1" t="s">
        <v>21</v>
      </c>
      <c r="J1341" s="1" t="s">
        <v>32</v>
      </c>
      <c r="K1341" s="1" t="s">
        <v>419</v>
      </c>
      <c r="L1341" s="1" t="s">
        <v>417</v>
      </c>
      <c r="M1341" s="1"/>
      <c r="N1341" s="1"/>
      <c r="O1341" s="31">
        <v>4</v>
      </c>
      <c r="P1341" s="31">
        <v>1</v>
      </c>
      <c r="Q1341" s="32">
        <v>2004</v>
      </c>
    </row>
    <row r="1342" spans="1:17" x14ac:dyDescent="0.25">
      <c r="A1342" s="1" t="s">
        <v>423</v>
      </c>
      <c r="B1342" s="31">
        <v>58.2</v>
      </c>
      <c r="C1342" s="1" t="s">
        <v>20</v>
      </c>
      <c r="D1342" s="2">
        <v>42675</v>
      </c>
      <c r="E1342" s="2">
        <v>42675</v>
      </c>
      <c r="F1342" s="17">
        <v>1500000</v>
      </c>
      <c r="G1342" s="17">
        <v>25773.200000000001</v>
      </c>
      <c r="H1342" s="1"/>
      <c r="I1342" s="1" t="s">
        <v>21</v>
      </c>
      <c r="J1342" s="1" t="s">
        <v>32</v>
      </c>
      <c r="K1342" s="1" t="s">
        <v>419</v>
      </c>
      <c r="L1342" s="1" t="s">
        <v>417</v>
      </c>
      <c r="M1342" s="1"/>
      <c r="N1342" s="1" t="s">
        <v>427</v>
      </c>
      <c r="O1342" s="31">
        <v>2</v>
      </c>
      <c r="P1342" s="31">
        <v>2</v>
      </c>
      <c r="Q1342" s="32">
        <v>2007</v>
      </c>
    </row>
    <row r="1343" spans="1:17" x14ac:dyDescent="0.25">
      <c r="A1343" s="1" t="s">
        <v>423</v>
      </c>
      <c r="B1343" s="31">
        <v>58.2</v>
      </c>
      <c r="C1343" s="1" t="s">
        <v>20</v>
      </c>
      <c r="D1343" s="2">
        <v>42675</v>
      </c>
      <c r="E1343" s="2">
        <v>42675</v>
      </c>
      <c r="F1343" s="17">
        <v>1500000</v>
      </c>
      <c r="G1343" s="17">
        <v>25773.200000000001</v>
      </c>
      <c r="H1343" s="1"/>
      <c r="I1343" s="1" t="s">
        <v>21</v>
      </c>
      <c r="J1343" s="1" t="s">
        <v>32</v>
      </c>
      <c r="K1343" s="1" t="s">
        <v>419</v>
      </c>
      <c r="L1343" s="1" t="s">
        <v>417</v>
      </c>
      <c r="M1343" s="1"/>
      <c r="N1343" s="1" t="s">
        <v>427</v>
      </c>
      <c r="O1343" s="31">
        <v>2</v>
      </c>
      <c r="P1343" s="31">
        <v>2</v>
      </c>
      <c r="Q1343" s="32">
        <v>2007</v>
      </c>
    </row>
    <row r="1344" spans="1:17" x14ac:dyDescent="0.25">
      <c r="A1344" s="1" t="s">
        <v>420</v>
      </c>
      <c r="B1344" s="31">
        <v>32.5</v>
      </c>
      <c r="C1344" s="1" t="s">
        <v>20</v>
      </c>
      <c r="D1344" s="2">
        <v>42767</v>
      </c>
      <c r="E1344" s="2">
        <v>42795</v>
      </c>
      <c r="F1344" s="17">
        <v>860000</v>
      </c>
      <c r="G1344" s="17">
        <v>26461.54</v>
      </c>
      <c r="H1344" s="1"/>
      <c r="I1344" s="1" t="s">
        <v>21</v>
      </c>
      <c r="J1344" s="1" t="s">
        <v>22</v>
      </c>
      <c r="K1344" s="1" t="s">
        <v>419</v>
      </c>
      <c r="L1344" s="1" t="s">
        <v>417</v>
      </c>
      <c r="M1344" s="1"/>
      <c r="N1344" s="1" t="s">
        <v>183</v>
      </c>
      <c r="O1344" s="31">
        <v>1</v>
      </c>
      <c r="P1344" s="31">
        <v>1</v>
      </c>
      <c r="Q1344" s="32">
        <v>2015</v>
      </c>
    </row>
    <row r="1345" spans="1:17" x14ac:dyDescent="0.25">
      <c r="A1345" s="1" t="s">
        <v>425</v>
      </c>
      <c r="B1345" s="31">
        <v>46.6</v>
      </c>
      <c r="C1345" s="1" t="s">
        <v>20</v>
      </c>
      <c r="D1345" s="2">
        <v>42736</v>
      </c>
      <c r="E1345" s="2">
        <v>42736</v>
      </c>
      <c r="F1345" s="17">
        <v>1240000</v>
      </c>
      <c r="G1345" s="17">
        <v>26609.439999999999</v>
      </c>
      <c r="H1345" s="1"/>
      <c r="I1345" s="1" t="s">
        <v>21</v>
      </c>
      <c r="J1345" s="1" t="s">
        <v>32</v>
      </c>
      <c r="K1345" s="1" t="s">
        <v>419</v>
      </c>
      <c r="L1345" s="1" t="s">
        <v>417</v>
      </c>
      <c r="M1345" s="1"/>
      <c r="N1345" s="1" t="s">
        <v>183</v>
      </c>
      <c r="O1345" s="31">
        <v>3</v>
      </c>
      <c r="P1345" s="31">
        <v>1</v>
      </c>
      <c r="Q1345" s="32">
        <v>2002</v>
      </c>
    </row>
    <row r="1346" spans="1:17" x14ac:dyDescent="0.25">
      <c r="A1346" s="1" t="s">
        <v>423</v>
      </c>
      <c r="B1346" s="31">
        <v>43.7</v>
      </c>
      <c r="C1346" s="1" t="s">
        <v>20</v>
      </c>
      <c r="D1346" s="2">
        <v>42795</v>
      </c>
      <c r="E1346" s="2">
        <v>42795</v>
      </c>
      <c r="F1346" s="17">
        <v>1200000</v>
      </c>
      <c r="G1346" s="17">
        <v>27459.95</v>
      </c>
      <c r="H1346" s="1"/>
      <c r="I1346" s="1" t="s">
        <v>21</v>
      </c>
      <c r="J1346" s="1" t="s">
        <v>32</v>
      </c>
      <c r="K1346" s="1" t="s">
        <v>419</v>
      </c>
      <c r="L1346" s="1" t="s">
        <v>417</v>
      </c>
      <c r="M1346" s="1"/>
      <c r="N1346" s="1" t="s">
        <v>432</v>
      </c>
      <c r="O1346" s="31">
        <v>2</v>
      </c>
      <c r="P1346" s="31">
        <v>1</v>
      </c>
      <c r="Q1346" s="32">
        <v>2007</v>
      </c>
    </row>
    <row r="1347" spans="1:17" x14ac:dyDescent="0.25">
      <c r="A1347" s="1" t="s">
        <v>425</v>
      </c>
      <c r="B1347" s="31">
        <v>50.9</v>
      </c>
      <c r="C1347" s="1" t="s">
        <v>20</v>
      </c>
      <c r="D1347" s="2">
        <v>42705</v>
      </c>
      <c r="E1347" s="2">
        <v>42705</v>
      </c>
      <c r="F1347" s="17">
        <v>1400000</v>
      </c>
      <c r="G1347" s="17">
        <v>27504.91</v>
      </c>
      <c r="H1347" s="1"/>
      <c r="I1347" s="1" t="s">
        <v>21</v>
      </c>
      <c r="J1347" s="1" t="s">
        <v>22</v>
      </c>
      <c r="K1347" s="1" t="s">
        <v>419</v>
      </c>
      <c r="L1347" s="1" t="s">
        <v>417</v>
      </c>
      <c r="M1347" s="1"/>
      <c r="N1347" s="1"/>
      <c r="O1347" s="31">
        <v>5</v>
      </c>
      <c r="P1347" s="31">
        <v>1</v>
      </c>
      <c r="Q1347" s="32">
        <v>2002</v>
      </c>
    </row>
    <row r="1348" spans="1:17" x14ac:dyDescent="0.25">
      <c r="A1348" s="1" t="s">
        <v>423</v>
      </c>
      <c r="B1348" s="31">
        <v>43.4</v>
      </c>
      <c r="C1348" s="1" t="s">
        <v>20</v>
      </c>
      <c r="D1348" s="2">
        <v>42675</v>
      </c>
      <c r="E1348" s="2">
        <v>42675</v>
      </c>
      <c r="F1348" s="17">
        <v>1200000</v>
      </c>
      <c r="G1348" s="17">
        <v>27649.77</v>
      </c>
      <c r="H1348" s="1"/>
      <c r="I1348" s="1" t="s">
        <v>21</v>
      </c>
      <c r="J1348" s="1" t="s">
        <v>32</v>
      </c>
      <c r="K1348" s="1" t="s">
        <v>419</v>
      </c>
      <c r="L1348" s="1" t="s">
        <v>417</v>
      </c>
      <c r="M1348" s="1"/>
      <c r="N1348" s="1" t="s">
        <v>157</v>
      </c>
      <c r="O1348" s="31">
        <v>1</v>
      </c>
      <c r="P1348" s="31">
        <v>1</v>
      </c>
      <c r="Q1348" s="32">
        <v>2000</v>
      </c>
    </row>
    <row r="1349" spans="1:17" x14ac:dyDescent="0.25">
      <c r="A1349" s="1" t="s">
        <v>420</v>
      </c>
      <c r="B1349" s="31">
        <v>53</v>
      </c>
      <c r="C1349" s="1" t="s">
        <v>20</v>
      </c>
      <c r="D1349" s="2">
        <v>42705</v>
      </c>
      <c r="E1349" s="2">
        <v>42705</v>
      </c>
      <c r="F1349" s="17">
        <v>1470000</v>
      </c>
      <c r="G1349" s="17">
        <v>27735.85</v>
      </c>
      <c r="H1349" s="1"/>
      <c r="I1349" s="1" t="s">
        <v>21</v>
      </c>
      <c r="J1349" s="1" t="s">
        <v>32</v>
      </c>
      <c r="K1349" s="1" t="s">
        <v>419</v>
      </c>
      <c r="L1349" s="1" t="s">
        <v>417</v>
      </c>
      <c r="M1349" s="1"/>
      <c r="N1349" s="1"/>
      <c r="O1349" s="31">
        <v>4</v>
      </c>
      <c r="P1349" s="31">
        <v>1</v>
      </c>
      <c r="Q1349" s="32">
        <v>2016</v>
      </c>
    </row>
    <row r="1350" spans="1:17" x14ac:dyDescent="0.25">
      <c r="A1350" s="1" t="s">
        <v>433</v>
      </c>
      <c r="B1350" s="31">
        <v>33.4</v>
      </c>
      <c r="C1350" s="1" t="s">
        <v>20</v>
      </c>
      <c r="D1350" s="2">
        <v>42795</v>
      </c>
      <c r="E1350" s="2">
        <v>42795</v>
      </c>
      <c r="F1350" s="17">
        <v>928000</v>
      </c>
      <c r="G1350" s="17">
        <v>27784.43</v>
      </c>
      <c r="H1350" s="1"/>
      <c r="I1350" s="1" t="s">
        <v>21</v>
      </c>
      <c r="J1350" s="1" t="s">
        <v>32</v>
      </c>
      <c r="K1350" s="1" t="s">
        <v>419</v>
      </c>
      <c r="L1350" s="1" t="s">
        <v>417</v>
      </c>
      <c r="M1350" s="1"/>
      <c r="N1350" s="1" t="s">
        <v>128</v>
      </c>
      <c r="O1350" s="31">
        <v>5</v>
      </c>
      <c r="P1350" s="31">
        <v>1</v>
      </c>
      <c r="Q1350" s="32">
        <v>2006</v>
      </c>
    </row>
    <row r="1351" spans="1:17" x14ac:dyDescent="0.25">
      <c r="A1351" s="1" t="s">
        <v>424</v>
      </c>
      <c r="B1351" s="31">
        <v>48.7</v>
      </c>
      <c r="C1351" s="1" t="s">
        <v>20</v>
      </c>
      <c r="D1351" s="2">
        <v>42705</v>
      </c>
      <c r="E1351" s="2">
        <v>42705</v>
      </c>
      <c r="F1351" s="17">
        <v>1360000</v>
      </c>
      <c r="G1351" s="17">
        <v>27926.080000000002</v>
      </c>
      <c r="H1351" s="1"/>
      <c r="I1351" s="1" t="s">
        <v>21</v>
      </c>
      <c r="J1351" s="1" t="s">
        <v>32</v>
      </c>
      <c r="K1351" s="1" t="s">
        <v>419</v>
      </c>
      <c r="L1351" s="1" t="s">
        <v>417</v>
      </c>
      <c r="M1351" s="1"/>
      <c r="N1351" s="1" t="s">
        <v>183</v>
      </c>
      <c r="O1351" s="31">
        <v>1</v>
      </c>
      <c r="P1351" s="31">
        <v>1</v>
      </c>
      <c r="Q1351" s="32">
        <v>2001</v>
      </c>
    </row>
    <row r="1352" spans="1:17" x14ac:dyDescent="0.25">
      <c r="A1352" s="1" t="s">
        <v>423</v>
      </c>
      <c r="B1352" s="31">
        <v>40.9</v>
      </c>
      <c r="C1352" s="1" t="s">
        <v>20</v>
      </c>
      <c r="D1352" s="2">
        <v>42705</v>
      </c>
      <c r="E1352" s="2">
        <v>42705</v>
      </c>
      <c r="F1352" s="17">
        <v>1150000</v>
      </c>
      <c r="G1352" s="17">
        <v>28117.360000000001</v>
      </c>
      <c r="H1352" s="1"/>
      <c r="I1352" s="1" t="s">
        <v>21</v>
      </c>
      <c r="J1352" s="1" t="s">
        <v>22</v>
      </c>
      <c r="K1352" s="1" t="s">
        <v>419</v>
      </c>
      <c r="L1352" s="1" t="s">
        <v>417</v>
      </c>
      <c r="M1352" s="1"/>
      <c r="N1352" s="1" t="s">
        <v>62</v>
      </c>
      <c r="O1352" s="31">
        <v>5</v>
      </c>
      <c r="P1352" s="31">
        <v>1</v>
      </c>
      <c r="Q1352" s="32">
        <v>2016</v>
      </c>
    </row>
    <row r="1353" spans="1:17" x14ac:dyDescent="0.25">
      <c r="A1353" s="1" t="s">
        <v>425</v>
      </c>
      <c r="B1353" s="31">
        <v>44.4</v>
      </c>
      <c r="C1353" s="1" t="s">
        <v>20</v>
      </c>
      <c r="D1353" s="2">
        <v>42705</v>
      </c>
      <c r="E1353" s="2">
        <v>42705</v>
      </c>
      <c r="F1353" s="17">
        <v>1250000</v>
      </c>
      <c r="G1353" s="17">
        <v>28153.15</v>
      </c>
      <c r="H1353" s="1"/>
      <c r="I1353" s="1" t="s">
        <v>21</v>
      </c>
      <c r="J1353" s="1" t="s">
        <v>32</v>
      </c>
      <c r="K1353" s="1" t="s">
        <v>419</v>
      </c>
      <c r="L1353" s="1" t="s">
        <v>417</v>
      </c>
      <c r="M1353" s="1"/>
      <c r="N1353" s="1" t="s">
        <v>429</v>
      </c>
      <c r="O1353" s="31">
        <v>5</v>
      </c>
      <c r="P1353" s="31">
        <v>2</v>
      </c>
      <c r="Q1353" s="32">
        <v>2000</v>
      </c>
    </row>
    <row r="1354" spans="1:17" x14ac:dyDescent="0.25">
      <c r="A1354" s="1" t="s">
        <v>425</v>
      </c>
      <c r="B1354" s="31">
        <v>44.4</v>
      </c>
      <c r="C1354" s="1" t="s">
        <v>20</v>
      </c>
      <c r="D1354" s="2">
        <v>42705</v>
      </c>
      <c r="E1354" s="2">
        <v>42705</v>
      </c>
      <c r="F1354" s="17">
        <v>1250000</v>
      </c>
      <c r="G1354" s="17">
        <v>28153.15</v>
      </c>
      <c r="H1354" s="1"/>
      <c r="I1354" s="1" t="s">
        <v>21</v>
      </c>
      <c r="J1354" s="1" t="s">
        <v>32</v>
      </c>
      <c r="K1354" s="1" t="s">
        <v>419</v>
      </c>
      <c r="L1354" s="1" t="s">
        <v>417</v>
      </c>
      <c r="M1354" s="1"/>
      <c r="N1354" s="1" t="s">
        <v>429</v>
      </c>
      <c r="O1354" s="31">
        <v>5</v>
      </c>
      <c r="P1354" s="31">
        <v>2</v>
      </c>
      <c r="Q1354" s="32">
        <v>2000</v>
      </c>
    </row>
    <row r="1355" spans="1:17" x14ac:dyDescent="0.25">
      <c r="A1355" s="1" t="s">
        <v>425</v>
      </c>
      <c r="B1355" s="31">
        <v>51</v>
      </c>
      <c r="C1355" s="1" t="s">
        <v>20</v>
      </c>
      <c r="D1355" s="2">
        <v>42705</v>
      </c>
      <c r="E1355" s="2">
        <v>42705</v>
      </c>
      <c r="F1355" s="17">
        <v>1440000</v>
      </c>
      <c r="G1355" s="17">
        <v>28235.29</v>
      </c>
      <c r="H1355" s="1"/>
      <c r="I1355" s="1" t="s">
        <v>21</v>
      </c>
      <c r="J1355" s="1" t="s">
        <v>32</v>
      </c>
      <c r="K1355" s="1" t="s">
        <v>419</v>
      </c>
      <c r="L1355" s="1" t="s">
        <v>417</v>
      </c>
      <c r="M1355" s="1"/>
      <c r="N1355" s="1" t="s">
        <v>429</v>
      </c>
      <c r="O1355" s="31">
        <v>5</v>
      </c>
      <c r="P1355" s="31">
        <v>2</v>
      </c>
      <c r="Q1355" s="32">
        <v>2016</v>
      </c>
    </row>
    <row r="1356" spans="1:17" x14ac:dyDescent="0.25">
      <c r="A1356" s="1" t="s">
        <v>425</v>
      </c>
      <c r="B1356" s="31">
        <v>51</v>
      </c>
      <c r="C1356" s="1" t="s">
        <v>20</v>
      </c>
      <c r="D1356" s="2">
        <v>42705</v>
      </c>
      <c r="E1356" s="2">
        <v>42705</v>
      </c>
      <c r="F1356" s="17">
        <v>1440000</v>
      </c>
      <c r="G1356" s="17">
        <v>28235.29</v>
      </c>
      <c r="H1356" s="1"/>
      <c r="I1356" s="1" t="s">
        <v>21</v>
      </c>
      <c r="J1356" s="1" t="s">
        <v>32</v>
      </c>
      <c r="K1356" s="1" t="s">
        <v>419</v>
      </c>
      <c r="L1356" s="1" t="s">
        <v>417</v>
      </c>
      <c r="M1356" s="1"/>
      <c r="N1356" s="1" t="s">
        <v>429</v>
      </c>
      <c r="O1356" s="31">
        <v>5</v>
      </c>
      <c r="P1356" s="31">
        <v>2</v>
      </c>
      <c r="Q1356" s="32">
        <v>2016</v>
      </c>
    </row>
    <row r="1357" spans="1:17" x14ac:dyDescent="0.25">
      <c r="A1357" s="1" t="s">
        <v>421</v>
      </c>
      <c r="B1357" s="31">
        <v>35.1</v>
      </c>
      <c r="C1357" s="1" t="s">
        <v>20</v>
      </c>
      <c r="D1357" s="2">
        <v>42644</v>
      </c>
      <c r="E1357" s="2">
        <v>42644</v>
      </c>
      <c r="F1357" s="17">
        <v>1000000</v>
      </c>
      <c r="G1357" s="17">
        <v>28490.03</v>
      </c>
      <c r="H1357" s="1"/>
      <c r="I1357" s="1" t="s">
        <v>21</v>
      </c>
      <c r="J1357" s="1" t="s">
        <v>32</v>
      </c>
      <c r="K1357" s="1" t="s">
        <v>419</v>
      </c>
      <c r="L1357" s="1" t="s">
        <v>417</v>
      </c>
      <c r="M1357" s="1"/>
      <c r="N1357" s="1" t="s">
        <v>422</v>
      </c>
      <c r="O1357" s="31">
        <v>4</v>
      </c>
      <c r="P1357" s="31">
        <v>1</v>
      </c>
      <c r="Q1357" s="32">
        <v>2014</v>
      </c>
    </row>
    <row r="1358" spans="1:17" x14ac:dyDescent="0.25">
      <c r="A1358" s="1" t="s">
        <v>423</v>
      </c>
      <c r="B1358" s="31">
        <v>58.7</v>
      </c>
      <c r="C1358" s="1" t="s">
        <v>20</v>
      </c>
      <c r="D1358" s="2">
        <v>42675</v>
      </c>
      <c r="E1358" s="2">
        <v>42675</v>
      </c>
      <c r="F1358" s="17">
        <v>1680000</v>
      </c>
      <c r="G1358" s="17">
        <v>28620.1</v>
      </c>
      <c r="H1358" s="1"/>
      <c r="I1358" s="1" t="s">
        <v>21</v>
      </c>
      <c r="J1358" s="1" t="s">
        <v>32</v>
      </c>
      <c r="K1358" s="1" t="s">
        <v>419</v>
      </c>
      <c r="L1358" s="1" t="s">
        <v>417</v>
      </c>
      <c r="M1358" s="1"/>
      <c r="N1358" s="1" t="s">
        <v>428</v>
      </c>
      <c r="O1358" s="31">
        <v>4</v>
      </c>
      <c r="P1358" s="31">
        <v>2</v>
      </c>
      <c r="Q1358" s="32">
        <v>2006</v>
      </c>
    </row>
    <row r="1359" spans="1:17" x14ac:dyDescent="0.25">
      <c r="A1359" s="1" t="s">
        <v>423</v>
      </c>
      <c r="B1359" s="31">
        <v>58.7</v>
      </c>
      <c r="C1359" s="1" t="s">
        <v>20</v>
      </c>
      <c r="D1359" s="2">
        <v>42675</v>
      </c>
      <c r="E1359" s="2">
        <v>42675</v>
      </c>
      <c r="F1359" s="17">
        <v>1680000</v>
      </c>
      <c r="G1359" s="17">
        <v>28620.1</v>
      </c>
      <c r="H1359" s="1"/>
      <c r="I1359" s="1" t="s">
        <v>21</v>
      </c>
      <c r="J1359" s="1" t="s">
        <v>32</v>
      </c>
      <c r="K1359" s="1" t="s">
        <v>419</v>
      </c>
      <c r="L1359" s="1" t="s">
        <v>417</v>
      </c>
      <c r="M1359" s="1"/>
      <c r="N1359" s="1" t="s">
        <v>428</v>
      </c>
      <c r="O1359" s="31">
        <v>4</v>
      </c>
      <c r="P1359" s="31">
        <v>2</v>
      </c>
      <c r="Q1359" s="32">
        <v>2006</v>
      </c>
    </row>
    <row r="1360" spans="1:17" x14ac:dyDescent="0.25">
      <c r="A1360" s="1" t="s">
        <v>423</v>
      </c>
      <c r="B1360" s="31">
        <v>40.200000000000003</v>
      </c>
      <c r="C1360" s="1" t="s">
        <v>20</v>
      </c>
      <c r="D1360" s="2">
        <v>42705</v>
      </c>
      <c r="E1360" s="2">
        <v>42705</v>
      </c>
      <c r="F1360" s="17">
        <v>1160000</v>
      </c>
      <c r="G1360" s="17">
        <v>28855.72</v>
      </c>
      <c r="H1360" s="1"/>
      <c r="I1360" s="1" t="s">
        <v>21</v>
      </c>
      <c r="J1360" s="1" t="s">
        <v>32</v>
      </c>
      <c r="K1360" s="1" t="s">
        <v>419</v>
      </c>
      <c r="L1360" s="1" t="s">
        <v>417</v>
      </c>
      <c r="M1360" s="1"/>
      <c r="N1360" s="1" t="s">
        <v>62</v>
      </c>
      <c r="O1360" s="31">
        <v>1</v>
      </c>
      <c r="P1360" s="31">
        <v>1</v>
      </c>
      <c r="Q1360" s="32">
        <v>2005</v>
      </c>
    </row>
    <row r="1361" spans="1:17" x14ac:dyDescent="0.25">
      <c r="A1361" s="1" t="s">
        <v>420</v>
      </c>
      <c r="B1361" s="31">
        <v>36.799999999999997</v>
      </c>
      <c r="C1361" s="1" t="s">
        <v>20</v>
      </c>
      <c r="D1361" s="2">
        <v>42795</v>
      </c>
      <c r="E1361" s="2">
        <v>42795</v>
      </c>
      <c r="F1361" s="17">
        <v>1064000</v>
      </c>
      <c r="G1361" s="17">
        <v>28913.040000000001</v>
      </c>
      <c r="H1361" s="1"/>
      <c r="I1361" s="1" t="s">
        <v>21</v>
      </c>
      <c r="J1361" s="1" t="s">
        <v>32</v>
      </c>
      <c r="K1361" s="1" t="s">
        <v>419</v>
      </c>
      <c r="L1361" s="1" t="s">
        <v>417</v>
      </c>
      <c r="M1361" s="1"/>
      <c r="N1361" s="1"/>
      <c r="O1361" s="31">
        <v>3</v>
      </c>
      <c r="P1361" s="31">
        <v>1</v>
      </c>
      <c r="Q1361" s="32">
        <v>2016</v>
      </c>
    </row>
    <row r="1362" spans="1:17" x14ac:dyDescent="0.25">
      <c r="A1362" s="1" t="s">
        <v>421</v>
      </c>
      <c r="B1362" s="31">
        <v>53.5</v>
      </c>
      <c r="C1362" s="1" t="s">
        <v>20</v>
      </c>
      <c r="D1362" s="2">
        <v>42705</v>
      </c>
      <c r="E1362" s="2">
        <v>42705</v>
      </c>
      <c r="F1362" s="17">
        <v>1600000</v>
      </c>
      <c r="G1362" s="17">
        <v>29906.54</v>
      </c>
      <c r="H1362" s="1"/>
      <c r="I1362" s="1" t="s">
        <v>21</v>
      </c>
      <c r="J1362" s="1" t="s">
        <v>32</v>
      </c>
      <c r="K1362" s="1" t="s">
        <v>419</v>
      </c>
      <c r="L1362" s="1" t="s">
        <v>417</v>
      </c>
      <c r="M1362" s="1"/>
      <c r="N1362" s="1" t="s">
        <v>422</v>
      </c>
      <c r="O1362" s="31">
        <v>4</v>
      </c>
      <c r="P1362" s="31">
        <v>2</v>
      </c>
      <c r="Q1362" s="32">
        <v>2014</v>
      </c>
    </row>
    <row r="1363" spans="1:17" x14ac:dyDescent="0.25">
      <c r="A1363" s="1" t="s">
        <v>421</v>
      </c>
      <c r="B1363" s="31">
        <v>53.5</v>
      </c>
      <c r="C1363" s="1" t="s">
        <v>20</v>
      </c>
      <c r="D1363" s="2">
        <v>42705</v>
      </c>
      <c r="E1363" s="2">
        <v>42705</v>
      </c>
      <c r="F1363" s="17">
        <v>1600000</v>
      </c>
      <c r="G1363" s="17">
        <v>29906.54</v>
      </c>
      <c r="H1363" s="1"/>
      <c r="I1363" s="1" t="s">
        <v>21</v>
      </c>
      <c r="J1363" s="1" t="s">
        <v>32</v>
      </c>
      <c r="K1363" s="1" t="s">
        <v>419</v>
      </c>
      <c r="L1363" s="1" t="s">
        <v>417</v>
      </c>
      <c r="M1363" s="1"/>
      <c r="N1363" s="1" t="s">
        <v>422</v>
      </c>
      <c r="O1363" s="31">
        <v>4</v>
      </c>
      <c r="P1363" s="31">
        <v>2</v>
      </c>
      <c r="Q1363" s="32">
        <v>2014</v>
      </c>
    </row>
    <row r="1364" spans="1:17" x14ac:dyDescent="0.25">
      <c r="A1364" s="1" t="s">
        <v>425</v>
      </c>
      <c r="B1364" s="31">
        <v>58.5</v>
      </c>
      <c r="C1364" s="1" t="s">
        <v>20</v>
      </c>
      <c r="D1364" s="2">
        <v>42705</v>
      </c>
      <c r="E1364" s="2">
        <v>42705</v>
      </c>
      <c r="F1364" s="17">
        <v>1750000</v>
      </c>
      <c r="G1364" s="17">
        <v>29914.53</v>
      </c>
      <c r="H1364" s="1"/>
      <c r="I1364" s="1" t="s">
        <v>21</v>
      </c>
      <c r="J1364" s="1" t="s">
        <v>32</v>
      </c>
      <c r="K1364" s="1" t="s">
        <v>419</v>
      </c>
      <c r="L1364" s="1" t="s">
        <v>417</v>
      </c>
      <c r="M1364" s="1"/>
      <c r="N1364" s="1" t="s">
        <v>426</v>
      </c>
      <c r="O1364" s="31">
        <v>1</v>
      </c>
      <c r="P1364" s="31">
        <v>2</v>
      </c>
      <c r="Q1364" s="32">
        <v>2002</v>
      </c>
    </row>
    <row r="1365" spans="1:17" x14ac:dyDescent="0.25">
      <c r="A1365" s="1" t="s">
        <v>425</v>
      </c>
      <c r="B1365" s="31">
        <v>58.5</v>
      </c>
      <c r="C1365" s="1" t="s">
        <v>20</v>
      </c>
      <c r="D1365" s="2">
        <v>42705</v>
      </c>
      <c r="E1365" s="2">
        <v>42705</v>
      </c>
      <c r="F1365" s="17">
        <v>1750000</v>
      </c>
      <c r="G1365" s="17">
        <v>29914.53</v>
      </c>
      <c r="H1365" s="1"/>
      <c r="I1365" s="1" t="s">
        <v>21</v>
      </c>
      <c r="J1365" s="1" t="s">
        <v>32</v>
      </c>
      <c r="K1365" s="1" t="s">
        <v>419</v>
      </c>
      <c r="L1365" s="1" t="s">
        <v>417</v>
      </c>
      <c r="M1365" s="1"/>
      <c r="N1365" s="1" t="s">
        <v>426</v>
      </c>
      <c r="O1365" s="31">
        <v>1</v>
      </c>
      <c r="P1365" s="31">
        <v>2</v>
      </c>
      <c r="Q1365" s="32">
        <v>2002</v>
      </c>
    </row>
    <row r="1366" spans="1:17" x14ac:dyDescent="0.25">
      <c r="A1366" s="1" t="s">
        <v>425</v>
      </c>
      <c r="B1366" s="31">
        <v>29.7</v>
      </c>
      <c r="C1366" s="1" t="s">
        <v>20</v>
      </c>
      <c r="D1366" s="2">
        <v>42736</v>
      </c>
      <c r="E1366" s="2">
        <v>42736</v>
      </c>
      <c r="F1366" s="17">
        <v>900000</v>
      </c>
      <c r="G1366" s="17">
        <v>30303.03</v>
      </c>
      <c r="H1366" s="1"/>
      <c r="I1366" s="1" t="s">
        <v>21</v>
      </c>
      <c r="J1366" s="1" t="s">
        <v>32</v>
      </c>
      <c r="K1366" s="1" t="s">
        <v>419</v>
      </c>
      <c r="L1366" s="1" t="s">
        <v>417</v>
      </c>
      <c r="M1366" s="1"/>
      <c r="N1366" s="1" t="s">
        <v>426</v>
      </c>
      <c r="O1366" s="31">
        <v>2</v>
      </c>
      <c r="P1366" s="31">
        <v>1</v>
      </c>
      <c r="Q1366" s="32">
        <v>2001</v>
      </c>
    </row>
    <row r="1367" spans="1:17" x14ac:dyDescent="0.25">
      <c r="A1367" s="1" t="s">
        <v>424</v>
      </c>
      <c r="B1367" s="31">
        <v>47.5</v>
      </c>
      <c r="C1367" s="1" t="s">
        <v>20</v>
      </c>
      <c r="D1367" s="2">
        <v>42644</v>
      </c>
      <c r="E1367" s="2">
        <v>42644</v>
      </c>
      <c r="F1367" s="17">
        <v>1440000</v>
      </c>
      <c r="G1367" s="17">
        <v>30315.79</v>
      </c>
      <c r="H1367" s="1"/>
      <c r="I1367" s="1" t="s">
        <v>21</v>
      </c>
      <c r="J1367" s="1" t="s">
        <v>32</v>
      </c>
      <c r="K1367" s="1" t="s">
        <v>419</v>
      </c>
      <c r="L1367" s="1" t="s">
        <v>417</v>
      </c>
      <c r="M1367" s="1"/>
      <c r="N1367" s="1" t="s">
        <v>128</v>
      </c>
      <c r="O1367" s="31">
        <v>3</v>
      </c>
      <c r="P1367" s="31">
        <v>2</v>
      </c>
      <c r="Q1367" s="32">
        <v>2010</v>
      </c>
    </row>
    <row r="1368" spans="1:17" x14ac:dyDescent="0.25">
      <c r="A1368" s="1" t="s">
        <v>424</v>
      </c>
      <c r="B1368" s="31">
        <v>47.5</v>
      </c>
      <c r="C1368" s="1" t="s">
        <v>20</v>
      </c>
      <c r="D1368" s="2">
        <v>42644</v>
      </c>
      <c r="E1368" s="2">
        <v>42644</v>
      </c>
      <c r="F1368" s="17">
        <v>1440000</v>
      </c>
      <c r="G1368" s="17">
        <v>30315.79</v>
      </c>
      <c r="H1368" s="1"/>
      <c r="I1368" s="1" t="s">
        <v>21</v>
      </c>
      <c r="J1368" s="1" t="s">
        <v>32</v>
      </c>
      <c r="K1368" s="1" t="s">
        <v>419</v>
      </c>
      <c r="L1368" s="1" t="s">
        <v>417</v>
      </c>
      <c r="M1368" s="1"/>
      <c r="N1368" s="1" t="s">
        <v>128</v>
      </c>
      <c r="O1368" s="31">
        <v>3</v>
      </c>
      <c r="P1368" s="31">
        <v>2</v>
      </c>
      <c r="Q1368" s="32">
        <v>2010</v>
      </c>
    </row>
    <row r="1369" spans="1:17" x14ac:dyDescent="0.25">
      <c r="A1369" s="1" t="s">
        <v>424</v>
      </c>
      <c r="B1369" s="31">
        <v>77.099999999999994</v>
      </c>
      <c r="C1369" s="1" t="s">
        <v>20</v>
      </c>
      <c r="D1369" s="2">
        <v>42705</v>
      </c>
      <c r="E1369" s="2">
        <v>42705</v>
      </c>
      <c r="F1369" s="17">
        <v>2340000</v>
      </c>
      <c r="G1369" s="17">
        <v>30350.19</v>
      </c>
      <c r="H1369" s="1"/>
      <c r="I1369" s="1" t="s">
        <v>21</v>
      </c>
      <c r="J1369" s="1" t="s">
        <v>32</v>
      </c>
      <c r="K1369" s="1" t="s">
        <v>419</v>
      </c>
      <c r="L1369" s="1" t="s">
        <v>417</v>
      </c>
      <c r="M1369" s="1"/>
      <c r="N1369" s="1" t="s">
        <v>183</v>
      </c>
      <c r="O1369" s="31">
        <v>4</v>
      </c>
      <c r="P1369" s="31">
        <v>2</v>
      </c>
      <c r="Q1369" s="32">
        <v>2002</v>
      </c>
    </row>
    <row r="1370" spans="1:17" x14ac:dyDescent="0.25">
      <c r="A1370" s="1" t="s">
        <v>424</v>
      </c>
      <c r="B1370" s="31">
        <v>77.099999999999994</v>
      </c>
      <c r="C1370" s="1" t="s">
        <v>20</v>
      </c>
      <c r="D1370" s="2">
        <v>42705</v>
      </c>
      <c r="E1370" s="2">
        <v>42705</v>
      </c>
      <c r="F1370" s="17">
        <v>2340000</v>
      </c>
      <c r="G1370" s="17">
        <v>30350.19</v>
      </c>
      <c r="H1370" s="1"/>
      <c r="I1370" s="1" t="s">
        <v>21</v>
      </c>
      <c r="J1370" s="1" t="s">
        <v>32</v>
      </c>
      <c r="K1370" s="1" t="s">
        <v>419</v>
      </c>
      <c r="L1370" s="1" t="s">
        <v>417</v>
      </c>
      <c r="M1370" s="1"/>
      <c r="N1370" s="1" t="s">
        <v>183</v>
      </c>
      <c r="O1370" s="31">
        <v>4</v>
      </c>
      <c r="P1370" s="31">
        <v>2</v>
      </c>
      <c r="Q1370" s="32">
        <v>2002</v>
      </c>
    </row>
    <row r="1371" spans="1:17" x14ac:dyDescent="0.25">
      <c r="A1371" s="1" t="s">
        <v>418</v>
      </c>
      <c r="B1371" s="31">
        <v>52.1</v>
      </c>
      <c r="C1371" s="1" t="s">
        <v>20</v>
      </c>
      <c r="D1371" s="2">
        <v>42675</v>
      </c>
      <c r="E1371" s="2">
        <v>42705</v>
      </c>
      <c r="F1371" s="17">
        <v>1600000</v>
      </c>
      <c r="G1371" s="17">
        <v>30710.17</v>
      </c>
      <c r="H1371" s="1"/>
      <c r="I1371" s="1" t="s">
        <v>21</v>
      </c>
      <c r="J1371" s="1" t="s">
        <v>32</v>
      </c>
      <c r="K1371" s="1" t="s">
        <v>419</v>
      </c>
      <c r="L1371" s="1" t="s">
        <v>417</v>
      </c>
      <c r="M1371" s="1"/>
      <c r="N1371" s="1" t="s">
        <v>183</v>
      </c>
      <c r="O1371" s="31">
        <v>3</v>
      </c>
      <c r="P1371" s="31">
        <v>1</v>
      </c>
      <c r="Q1371" s="32">
        <v>2013</v>
      </c>
    </row>
    <row r="1372" spans="1:17" x14ac:dyDescent="0.25">
      <c r="A1372" s="1" t="s">
        <v>425</v>
      </c>
      <c r="B1372" s="31">
        <v>58</v>
      </c>
      <c r="C1372" s="1" t="s">
        <v>20</v>
      </c>
      <c r="D1372" s="2">
        <v>42767</v>
      </c>
      <c r="E1372" s="2">
        <v>42767</v>
      </c>
      <c r="F1372" s="17">
        <v>1785000</v>
      </c>
      <c r="G1372" s="17">
        <v>30775.86</v>
      </c>
      <c r="H1372" s="1"/>
      <c r="I1372" s="1" t="s">
        <v>21</v>
      </c>
      <c r="J1372" s="1" t="s">
        <v>22</v>
      </c>
      <c r="K1372" s="1" t="s">
        <v>419</v>
      </c>
      <c r="L1372" s="1" t="s">
        <v>417</v>
      </c>
      <c r="M1372" s="1"/>
      <c r="N1372" s="1" t="s">
        <v>429</v>
      </c>
      <c r="O1372" s="31">
        <v>4</v>
      </c>
      <c r="P1372" s="31">
        <v>2</v>
      </c>
      <c r="Q1372" s="32">
        <v>2017</v>
      </c>
    </row>
    <row r="1373" spans="1:17" x14ac:dyDescent="0.25">
      <c r="A1373" s="1" t="s">
        <v>425</v>
      </c>
      <c r="B1373" s="31">
        <v>58</v>
      </c>
      <c r="C1373" s="1" t="s">
        <v>20</v>
      </c>
      <c r="D1373" s="2">
        <v>42767</v>
      </c>
      <c r="E1373" s="2">
        <v>42767</v>
      </c>
      <c r="F1373" s="17">
        <v>1785000</v>
      </c>
      <c r="G1373" s="17">
        <v>30775.86</v>
      </c>
      <c r="H1373" s="1"/>
      <c r="I1373" s="1" t="s">
        <v>21</v>
      </c>
      <c r="J1373" s="1" t="s">
        <v>22</v>
      </c>
      <c r="K1373" s="1" t="s">
        <v>419</v>
      </c>
      <c r="L1373" s="1" t="s">
        <v>417</v>
      </c>
      <c r="M1373" s="1"/>
      <c r="N1373" s="1" t="s">
        <v>429</v>
      </c>
      <c r="O1373" s="31">
        <v>4</v>
      </c>
      <c r="P1373" s="31">
        <v>2</v>
      </c>
      <c r="Q1373" s="32">
        <v>2017</v>
      </c>
    </row>
    <row r="1374" spans="1:17" x14ac:dyDescent="0.25">
      <c r="A1374" s="1" t="s">
        <v>424</v>
      </c>
      <c r="B1374" s="31">
        <v>33.700000000000003</v>
      </c>
      <c r="C1374" s="1" t="s">
        <v>20</v>
      </c>
      <c r="D1374" s="2">
        <v>42736</v>
      </c>
      <c r="E1374" s="2">
        <v>42736</v>
      </c>
      <c r="F1374" s="17">
        <v>1040000</v>
      </c>
      <c r="G1374" s="17">
        <v>30860.53</v>
      </c>
      <c r="H1374" s="1"/>
      <c r="I1374" s="1" t="s">
        <v>21</v>
      </c>
      <c r="J1374" s="1" t="s">
        <v>32</v>
      </c>
      <c r="K1374" s="1" t="s">
        <v>419</v>
      </c>
      <c r="L1374" s="1" t="s">
        <v>417</v>
      </c>
      <c r="M1374" s="1"/>
      <c r="N1374" s="1"/>
      <c r="O1374" s="31">
        <v>3</v>
      </c>
      <c r="P1374" s="31">
        <v>1</v>
      </c>
      <c r="Q1374" s="32">
        <v>2009</v>
      </c>
    </row>
    <row r="1375" spans="1:17" x14ac:dyDescent="0.25">
      <c r="A1375" s="1" t="s">
        <v>423</v>
      </c>
      <c r="B1375" s="31">
        <v>29.7</v>
      </c>
      <c r="C1375" s="1" t="s">
        <v>20</v>
      </c>
      <c r="D1375" s="2">
        <v>42705</v>
      </c>
      <c r="E1375" s="2">
        <v>42705</v>
      </c>
      <c r="F1375" s="17">
        <v>920000</v>
      </c>
      <c r="G1375" s="17">
        <v>30976.43</v>
      </c>
      <c r="H1375" s="1"/>
      <c r="I1375" s="1" t="s">
        <v>21</v>
      </c>
      <c r="J1375" s="1" t="s">
        <v>32</v>
      </c>
      <c r="K1375" s="1" t="s">
        <v>419</v>
      </c>
      <c r="L1375" s="1" t="s">
        <v>417</v>
      </c>
      <c r="M1375" s="1"/>
      <c r="N1375" s="1" t="s">
        <v>157</v>
      </c>
      <c r="O1375" s="31">
        <v>4</v>
      </c>
      <c r="P1375" s="31">
        <v>1</v>
      </c>
      <c r="Q1375" s="32">
        <v>2000</v>
      </c>
    </row>
    <row r="1376" spans="1:17" x14ac:dyDescent="0.25">
      <c r="A1376" s="1" t="s">
        <v>423</v>
      </c>
      <c r="B1376" s="31">
        <v>50</v>
      </c>
      <c r="C1376" s="1" t="s">
        <v>20</v>
      </c>
      <c r="D1376" s="2">
        <v>42705</v>
      </c>
      <c r="E1376" s="2">
        <v>42705</v>
      </c>
      <c r="F1376" s="17">
        <v>1550000</v>
      </c>
      <c r="G1376" s="17">
        <v>31000</v>
      </c>
      <c r="H1376" s="1"/>
      <c r="I1376" s="1" t="s">
        <v>21</v>
      </c>
      <c r="J1376" s="1" t="s">
        <v>32</v>
      </c>
      <c r="K1376" s="1" t="s">
        <v>419</v>
      </c>
      <c r="L1376" s="1" t="s">
        <v>417</v>
      </c>
      <c r="M1376" s="1"/>
      <c r="N1376" s="1" t="s">
        <v>427</v>
      </c>
      <c r="O1376" s="31">
        <v>6</v>
      </c>
      <c r="P1376" s="31">
        <v>2</v>
      </c>
      <c r="Q1376" s="32">
        <v>2005</v>
      </c>
    </row>
    <row r="1377" spans="1:17" x14ac:dyDescent="0.25">
      <c r="A1377" s="1" t="s">
        <v>423</v>
      </c>
      <c r="B1377" s="31">
        <v>50</v>
      </c>
      <c r="C1377" s="1" t="s">
        <v>20</v>
      </c>
      <c r="D1377" s="2">
        <v>42705</v>
      </c>
      <c r="E1377" s="2">
        <v>42705</v>
      </c>
      <c r="F1377" s="17">
        <v>1550000</v>
      </c>
      <c r="G1377" s="17">
        <v>31000</v>
      </c>
      <c r="H1377" s="1"/>
      <c r="I1377" s="1" t="s">
        <v>21</v>
      </c>
      <c r="J1377" s="1" t="s">
        <v>32</v>
      </c>
      <c r="K1377" s="1" t="s">
        <v>419</v>
      </c>
      <c r="L1377" s="1" t="s">
        <v>417</v>
      </c>
      <c r="M1377" s="1"/>
      <c r="N1377" s="1" t="s">
        <v>427</v>
      </c>
      <c r="O1377" s="31">
        <v>6</v>
      </c>
      <c r="P1377" s="31">
        <v>2</v>
      </c>
      <c r="Q1377" s="32">
        <v>2005</v>
      </c>
    </row>
    <row r="1378" spans="1:17" x14ac:dyDescent="0.25">
      <c r="A1378" s="1" t="s">
        <v>424</v>
      </c>
      <c r="B1378" s="31">
        <v>32.1</v>
      </c>
      <c r="C1378" s="1" t="s">
        <v>20</v>
      </c>
      <c r="D1378" s="2">
        <v>42705</v>
      </c>
      <c r="E1378" s="2">
        <v>42705</v>
      </c>
      <c r="F1378" s="17">
        <v>1000000</v>
      </c>
      <c r="G1378" s="17">
        <v>31152.65</v>
      </c>
      <c r="H1378" s="1"/>
      <c r="I1378" s="1" t="s">
        <v>21</v>
      </c>
      <c r="J1378" s="1" t="s">
        <v>32</v>
      </c>
      <c r="K1378" s="1" t="s">
        <v>419</v>
      </c>
      <c r="L1378" s="1" t="s">
        <v>417</v>
      </c>
      <c r="M1378" s="1"/>
      <c r="N1378" s="1" t="s">
        <v>128</v>
      </c>
      <c r="O1378" s="31">
        <v>4</v>
      </c>
      <c r="P1378" s="31">
        <v>1</v>
      </c>
      <c r="Q1378" s="32">
        <v>2015</v>
      </c>
    </row>
    <row r="1379" spans="1:17" x14ac:dyDescent="0.25">
      <c r="A1379" s="1" t="s">
        <v>425</v>
      </c>
      <c r="B1379" s="31">
        <v>57.7</v>
      </c>
      <c r="C1379" s="1" t="s">
        <v>20</v>
      </c>
      <c r="D1379" s="2">
        <v>42795</v>
      </c>
      <c r="E1379" s="2">
        <v>42795</v>
      </c>
      <c r="F1379" s="17">
        <v>1800000</v>
      </c>
      <c r="G1379" s="17">
        <v>31195.84</v>
      </c>
      <c r="H1379" s="1"/>
      <c r="I1379" s="1" t="s">
        <v>21</v>
      </c>
      <c r="J1379" s="1" t="s">
        <v>32</v>
      </c>
      <c r="K1379" s="1" t="s">
        <v>419</v>
      </c>
      <c r="L1379" s="1" t="s">
        <v>417</v>
      </c>
      <c r="M1379" s="1"/>
      <c r="N1379" s="1"/>
      <c r="O1379" s="31">
        <v>5</v>
      </c>
      <c r="P1379" s="31">
        <v>2</v>
      </c>
      <c r="Q1379" s="32">
        <v>2002</v>
      </c>
    </row>
    <row r="1380" spans="1:17" x14ac:dyDescent="0.25">
      <c r="A1380" s="1" t="s">
        <v>425</v>
      </c>
      <c r="B1380" s="31">
        <v>57.7</v>
      </c>
      <c r="C1380" s="1" t="s">
        <v>20</v>
      </c>
      <c r="D1380" s="2">
        <v>42795</v>
      </c>
      <c r="E1380" s="2">
        <v>42795</v>
      </c>
      <c r="F1380" s="17">
        <v>1800000</v>
      </c>
      <c r="G1380" s="17">
        <v>31195.84</v>
      </c>
      <c r="H1380" s="1"/>
      <c r="I1380" s="1" t="s">
        <v>21</v>
      </c>
      <c r="J1380" s="1" t="s">
        <v>32</v>
      </c>
      <c r="K1380" s="1" t="s">
        <v>419</v>
      </c>
      <c r="L1380" s="1" t="s">
        <v>417</v>
      </c>
      <c r="M1380" s="1"/>
      <c r="N1380" s="1"/>
      <c r="O1380" s="31">
        <v>5</v>
      </c>
      <c r="P1380" s="31">
        <v>2</v>
      </c>
      <c r="Q1380" s="32">
        <v>2002</v>
      </c>
    </row>
    <row r="1381" spans="1:17" x14ac:dyDescent="0.25">
      <c r="A1381" s="1" t="s">
        <v>420</v>
      </c>
      <c r="B1381" s="31">
        <v>60.9</v>
      </c>
      <c r="C1381" s="1" t="s">
        <v>20</v>
      </c>
      <c r="D1381" s="2">
        <v>42675</v>
      </c>
      <c r="E1381" s="2">
        <v>42675</v>
      </c>
      <c r="F1381" s="17">
        <v>1900000</v>
      </c>
      <c r="G1381" s="17">
        <v>31198.69</v>
      </c>
      <c r="H1381" s="1"/>
      <c r="I1381" s="1" t="s">
        <v>21</v>
      </c>
      <c r="J1381" s="1" t="s">
        <v>32</v>
      </c>
      <c r="K1381" s="1" t="s">
        <v>419</v>
      </c>
      <c r="L1381" s="1" t="s">
        <v>417</v>
      </c>
      <c r="M1381" s="1"/>
      <c r="N1381" s="1"/>
      <c r="O1381" s="31">
        <v>3</v>
      </c>
      <c r="P1381" s="31">
        <v>1</v>
      </c>
      <c r="Q1381" s="32">
        <v>2015</v>
      </c>
    </row>
    <row r="1382" spans="1:17" x14ac:dyDescent="0.25">
      <c r="A1382" s="1" t="s">
        <v>424</v>
      </c>
      <c r="B1382" s="31">
        <v>29.5</v>
      </c>
      <c r="C1382" s="1" t="s">
        <v>20</v>
      </c>
      <c r="D1382" s="2">
        <v>42795</v>
      </c>
      <c r="E1382" s="2">
        <v>42795</v>
      </c>
      <c r="F1382" s="17">
        <v>947000</v>
      </c>
      <c r="G1382" s="17">
        <v>32101.69</v>
      </c>
      <c r="H1382" s="1"/>
      <c r="I1382" s="1" t="s">
        <v>21</v>
      </c>
      <c r="J1382" s="1" t="s">
        <v>18</v>
      </c>
      <c r="K1382" s="1" t="s">
        <v>419</v>
      </c>
      <c r="L1382" s="1" t="s">
        <v>417</v>
      </c>
      <c r="M1382" s="1"/>
      <c r="N1382" s="1" t="s">
        <v>128</v>
      </c>
      <c r="O1382" s="31">
        <v>1</v>
      </c>
      <c r="P1382" s="31">
        <v>1</v>
      </c>
      <c r="Q1382" s="32">
        <v>2002</v>
      </c>
    </row>
    <row r="1383" spans="1:17" x14ac:dyDescent="0.25">
      <c r="A1383" s="1" t="s">
        <v>418</v>
      </c>
      <c r="B1383" s="31">
        <v>35.799999999999997</v>
      </c>
      <c r="C1383" s="1" t="s">
        <v>20</v>
      </c>
      <c r="D1383" s="2">
        <v>42736</v>
      </c>
      <c r="E1383" s="2">
        <v>42736</v>
      </c>
      <c r="F1383" s="17">
        <v>1150000</v>
      </c>
      <c r="G1383" s="17">
        <v>32122.91</v>
      </c>
      <c r="H1383" s="1"/>
      <c r="I1383" s="1" t="s">
        <v>21</v>
      </c>
      <c r="J1383" s="1" t="s">
        <v>32</v>
      </c>
      <c r="K1383" s="1" t="s">
        <v>419</v>
      </c>
      <c r="L1383" s="1" t="s">
        <v>417</v>
      </c>
      <c r="M1383" s="1"/>
      <c r="N1383" s="1" t="s">
        <v>62</v>
      </c>
      <c r="O1383" s="31">
        <v>1</v>
      </c>
      <c r="P1383" s="31">
        <v>1</v>
      </c>
      <c r="Q1383" s="32">
        <v>2002</v>
      </c>
    </row>
    <row r="1384" spans="1:17" x14ac:dyDescent="0.25">
      <c r="A1384" s="1" t="s">
        <v>425</v>
      </c>
      <c r="B1384" s="31">
        <v>57</v>
      </c>
      <c r="C1384" s="1" t="s">
        <v>20</v>
      </c>
      <c r="D1384" s="2">
        <v>42736</v>
      </c>
      <c r="E1384" s="2">
        <v>42767</v>
      </c>
      <c r="F1384" s="17">
        <v>1844000</v>
      </c>
      <c r="G1384" s="17">
        <v>32350.880000000001</v>
      </c>
      <c r="H1384" s="1"/>
      <c r="I1384" s="1" t="s">
        <v>21</v>
      </c>
      <c r="J1384" s="1" t="s">
        <v>32</v>
      </c>
      <c r="K1384" s="1" t="s">
        <v>419</v>
      </c>
      <c r="L1384" s="1" t="s">
        <v>417</v>
      </c>
      <c r="M1384" s="1"/>
      <c r="N1384" s="1" t="s">
        <v>426</v>
      </c>
      <c r="O1384" s="31">
        <v>5</v>
      </c>
      <c r="P1384" s="31">
        <v>1</v>
      </c>
      <c r="Q1384" s="32">
        <v>2010</v>
      </c>
    </row>
    <row r="1385" spans="1:17" x14ac:dyDescent="0.25">
      <c r="A1385" s="1" t="s">
        <v>425</v>
      </c>
      <c r="B1385" s="31">
        <v>29.6</v>
      </c>
      <c r="C1385" s="1" t="s">
        <v>20</v>
      </c>
      <c r="D1385" s="2">
        <v>42675</v>
      </c>
      <c r="E1385" s="2">
        <v>42675</v>
      </c>
      <c r="F1385" s="17">
        <v>960000</v>
      </c>
      <c r="G1385" s="17">
        <v>32432.43</v>
      </c>
      <c r="H1385" s="1"/>
      <c r="I1385" s="1" t="s">
        <v>21</v>
      </c>
      <c r="J1385" s="1" t="s">
        <v>32</v>
      </c>
      <c r="K1385" s="1" t="s">
        <v>419</v>
      </c>
      <c r="L1385" s="1" t="s">
        <v>417</v>
      </c>
      <c r="M1385" s="1"/>
      <c r="N1385" s="1" t="s">
        <v>429</v>
      </c>
      <c r="O1385" s="31">
        <v>3</v>
      </c>
      <c r="P1385" s="31">
        <v>1</v>
      </c>
      <c r="Q1385" s="32">
        <v>2006</v>
      </c>
    </row>
    <row r="1386" spans="1:17" x14ac:dyDescent="0.25">
      <c r="A1386" s="1" t="s">
        <v>421</v>
      </c>
      <c r="B1386" s="31">
        <v>35.299999999999997</v>
      </c>
      <c r="C1386" s="1" t="s">
        <v>20</v>
      </c>
      <c r="D1386" s="2">
        <v>42736</v>
      </c>
      <c r="E1386" s="2">
        <v>42736</v>
      </c>
      <c r="F1386" s="17">
        <v>1166471</v>
      </c>
      <c r="G1386" s="17">
        <v>33044.5</v>
      </c>
      <c r="H1386" s="1"/>
      <c r="I1386" s="1" t="s">
        <v>21</v>
      </c>
      <c r="J1386" s="1" t="s">
        <v>32</v>
      </c>
      <c r="K1386" s="1" t="s">
        <v>419</v>
      </c>
      <c r="L1386" s="1" t="s">
        <v>417</v>
      </c>
      <c r="M1386" s="1"/>
      <c r="N1386" s="1" t="s">
        <v>422</v>
      </c>
      <c r="O1386" s="31">
        <v>1</v>
      </c>
      <c r="P1386" s="31">
        <v>1</v>
      </c>
      <c r="Q1386" s="32">
        <v>2014</v>
      </c>
    </row>
    <row r="1387" spans="1:17" x14ac:dyDescent="0.25">
      <c r="A1387" s="1" t="s">
        <v>424</v>
      </c>
      <c r="B1387" s="31">
        <v>58.7</v>
      </c>
      <c r="C1387" s="1" t="s">
        <v>20</v>
      </c>
      <c r="D1387" s="2">
        <v>42705</v>
      </c>
      <c r="E1387" s="2">
        <v>42705</v>
      </c>
      <c r="F1387" s="17">
        <v>1960000</v>
      </c>
      <c r="G1387" s="17">
        <v>33390.120000000003</v>
      </c>
      <c r="H1387" s="1"/>
      <c r="I1387" s="1" t="s">
        <v>21</v>
      </c>
      <c r="J1387" s="1" t="s">
        <v>32</v>
      </c>
      <c r="K1387" s="1" t="s">
        <v>419</v>
      </c>
      <c r="L1387" s="1" t="s">
        <v>417</v>
      </c>
      <c r="M1387" s="1"/>
      <c r="N1387" s="1" t="s">
        <v>183</v>
      </c>
      <c r="O1387" s="31">
        <v>5</v>
      </c>
      <c r="P1387" s="31">
        <v>2</v>
      </c>
      <c r="Q1387" s="32">
        <v>2004</v>
      </c>
    </row>
    <row r="1388" spans="1:17" x14ac:dyDescent="0.25">
      <c r="A1388" s="1" t="s">
        <v>424</v>
      </c>
      <c r="B1388" s="31">
        <v>58.7</v>
      </c>
      <c r="C1388" s="1" t="s">
        <v>20</v>
      </c>
      <c r="D1388" s="2">
        <v>42705</v>
      </c>
      <c r="E1388" s="2">
        <v>42705</v>
      </c>
      <c r="F1388" s="17">
        <v>1960000</v>
      </c>
      <c r="G1388" s="17">
        <v>33390.120000000003</v>
      </c>
      <c r="H1388" s="1"/>
      <c r="I1388" s="1" t="s">
        <v>21</v>
      </c>
      <c r="J1388" s="1" t="s">
        <v>32</v>
      </c>
      <c r="K1388" s="1" t="s">
        <v>419</v>
      </c>
      <c r="L1388" s="1" t="s">
        <v>417</v>
      </c>
      <c r="M1388" s="1"/>
      <c r="N1388" s="1" t="s">
        <v>183</v>
      </c>
      <c r="O1388" s="31">
        <v>5</v>
      </c>
      <c r="P1388" s="31">
        <v>2</v>
      </c>
      <c r="Q1388" s="32">
        <v>2004</v>
      </c>
    </row>
    <row r="1389" spans="1:17" x14ac:dyDescent="0.25">
      <c r="A1389" s="1" t="s">
        <v>424</v>
      </c>
      <c r="B1389" s="31">
        <v>33.5</v>
      </c>
      <c r="C1389" s="1" t="s">
        <v>20</v>
      </c>
      <c r="D1389" s="2">
        <v>42705</v>
      </c>
      <c r="E1389" s="2">
        <v>42705</v>
      </c>
      <c r="F1389" s="17">
        <v>1120000</v>
      </c>
      <c r="G1389" s="17">
        <v>33432.839999999997</v>
      </c>
      <c r="H1389" s="1"/>
      <c r="I1389" s="1" t="s">
        <v>21</v>
      </c>
      <c r="J1389" s="1" t="s">
        <v>64</v>
      </c>
      <c r="K1389" s="1" t="s">
        <v>419</v>
      </c>
      <c r="L1389" s="1" t="s">
        <v>417</v>
      </c>
      <c r="M1389" s="1"/>
      <c r="N1389" s="1" t="s">
        <v>128</v>
      </c>
      <c r="O1389" s="31">
        <v>5</v>
      </c>
      <c r="P1389" s="31">
        <v>2</v>
      </c>
      <c r="Q1389" s="32">
        <v>2001</v>
      </c>
    </row>
    <row r="1390" spans="1:17" x14ac:dyDescent="0.25">
      <c r="A1390" s="1" t="s">
        <v>424</v>
      </c>
      <c r="B1390" s="31">
        <v>33.5</v>
      </c>
      <c r="C1390" s="1" t="s">
        <v>20</v>
      </c>
      <c r="D1390" s="2">
        <v>42705</v>
      </c>
      <c r="E1390" s="2">
        <v>42705</v>
      </c>
      <c r="F1390" s="17">
        <v>1120000</v>
      </c>
      <c r="G1390" s="17">
        <v>33432.839999999997</v>
      </c>
      <c r="H1390" s="1"/>
      <c r="I1390" s="1" t="s">
        <v>21</v>
      </c>
      <c r="J1390" s="1" t="s">
        <v>64</v>
      </c>
      <c r="K1390" s="1" t="s">
        <v>419</v>
      </c>
      <c r="L1390" s="1" t="s">
        <v>417</v>
      </c>
      <c r="M1390" s="1"/>
      <c r="N1390" s="1" t="s">
        <v>128</v>
      </c>
      <c r="O1390" s="31">
        <v>5</v>
      </c>
      <c r="P1390" s="31">
        <v>2</v>
      </c>
      <c r="Q1390" s="32">
        <v>2001</v>
      </c>
    </row>
    <row r="1391" spans="1:17" x14ac:dyDescent="0.25">
      <c r="A1391" s="1" t="s">
        <v>424</v>
      </c>
      <c r="B1391" s="31">
        <v>50.8</v>
      </c>
      <c r="C1391" s="1" t="s">
        <v>20</v>
      </c>
      <c r="D1391" s="2">
        <v>42705</v>
      </c>
      <c r="E1391" s="2">
        <v>42705</v>
      </c>
      <c r="F1391" s="17">
        <v>1700000</v>
      </c>
      <c r="G1391" s="17">
        <v>33464.57</v>
      </c>
      <c r="H1391" s="1"/>
      <c r="I1391" s="1" t="s">
        <v>21</v>
      </c>
      <c r="J1391" s="1" t="s">
        <v>64</v>
      </c>
      <c r="K1391" s="1" t="s">
        <v>419</v>
      </c>
      <c r="L1391" s="1" t="s">
        <v>417</v>
      </c>
      <c r="M1391" s="1"/>
      <c r="N1391" s="1" t="s">
        <v>128</v>
      </c>
      <c r="O1391" s="31">
        <v>2</v>
      </c>
      <c r="P1391" s="31">
        <v>1</v>
      </c>
      <c r="Q1391" s="32">
        <v>2014</v>
      </c>
    </row>
    <row r="1392" spans="1:17" x14ac:dyDescent="0.25">
      <c r="A1392" s="1" t="s">
        <v>423</v>
      </c>
      <c r="B1392" s="31">
        <v>44.4</v>
      </c>
      <c r="C1392" s="1" t="s">
        <v>20</v>
      </c>
      <c r="D1392" s="2">
        <v>42795</v>
      </c>
      <c r="E1392" s="2">
        <v>42795</v>
      </c>
      <c r="F1392" s="17">
        <v>1500000</v>
      </c>
      <c r="G1392" s="17">
        <v>33783.78</v>
      </c>
      <c r="H1392" s="1"/>
      <c r="I1392" s="1" t="s">
        <v>21</v>
      </c>
      <c r="J1392" s="1" t="s">
        <v>32</v>
      </c>
      <c r="K1392" s="1" t="s">
        <v>419</v>
      </c>
      <c r="L1392" s="1" t="s">
        <v>417</v>
      </c>
      <c r="M1392" s="1"/>
      <c r="N1392" s="1" t="s">
        <v>128</v>
      </c>
      <c r="O1392" s="31">
        <v>4</v>
      </c>
      <c r="P1392" s="31">
        <v>1</v>
      </c>
      <c r="Q1392" s="32">
        <v>2007</v>
      </c>
    </row>
    <row r="1393" spans="1:17" x14ac:dyDescent="0.25">
      <c r="A1393" s="1" t="s">
        <v>423</v>
      </c>
      <c r="B1393" s="31">
        <v>41.3</v>
      </c>
      <c r="C1393" s="1" t="s">
        <v>20</v>
      </c>
      <c r="D1393" s="2">
        <v>42705</v>
      </c>
      <c r="E1393" s="2">
        <v>42736</v>
      </c>
      <c r="F1393" s="17">
        <v>1400000</v>
      </c>
      <c r="G1393" s="17">
        <v>33898.31</v>
      </c>
      <c r="H1393" s="1"/>
      <c r="I1393" s="1" t="s">
        <v>21</v>
      </c>
      <c r="J1393" s="1" t="s">
        <v>32</v>
      </c>
      <c r="K1393" s="1" t="s">
        <v>419</v>
      </c>
      <c r="L1393" s="1" t="s">
        <v>417</v>
      </c>
      <c r="M1393" s="1"/>
      <c r="N1393" s="1" t="s">
        <v>427</v>
      </c>
      <c r="O1393" s="31">
        <v>1</v>
      </c>
      <c r="P1393" s="31">
        <v>1</v>
      </c>
      <c r="Q1393" s="32">
        <v>2012</v>
      </c>
    </row>
    <row r="1394" spans="1:17" x14ac:dyDescent="0.25">
      <c r="A1394" s="1" t="s">
        <v>425</v>
      </c>
      <c r="B1394" s="31">
        <v>27.9</v>
      </c>
      <c r="C1394" s="1" t="s">
        <v>20</v>
      </c>
      <c r="D1394" s="2">
        <v>42705</v>
      </c>
      <c r="E1394" s="2">
        <v>42705</v>
      </c>
      <c r="F1394" s="17">
        <v>952000</v>
      </c>
      <c r="G1394" s="17">
        <v>34121.86</v>
      </c>
      <c r="H1394" s="1"/>
      <c r="I1394" s="1" t="s">
        <v>21</v>
      </c>
      <c r="J1394" s="1" t="s">
        <v>18</v>
      </c>
      <c r="K1394" s="1" t="s">
        <v>419</v>
      </c>
      <c r="L1394" s="1" t="s">
        <v>417</v>
      </c>
      <c r="M1394" s="1"/>
      <c r="N1394" s="1" t="s">
        <v>429</v>
      </c>
      <c r="O1394" s="31">
        <v>1</v>
      </c>
      <c r="P1394" s="31">
        <v>1</v>
      </c>
      <c r="Q1394" s="32">
        <v>2016</v>
      </c>
    </row>
    <row r="1395" spans="1:17" x14ac:dyDescent="0.25">
      <c r="A1395" s="1" t="s">
        <v>424</v>
      </c>
      <c r="B1395" s="31">
        <v>35.1</v>
      </c>
      <c r="C1395" s="1" t="s">
        <v>20</v>
      </c>
      <c r="D1395" s="2">
        <v>42795</v>
      </c>
      <c r="E1395" s="2">
        <v>42795</v>
      </c>
      <c r="F1395" s="17">
        <v>1200000</v>
      </c>
      <c r="G1395" s="17">
        <v>34188.03</v>
      </c>
      <c r="H1395" s="1"/>
      <c r="I1395" s="1" t="s">
        <v>21</v>
      </c>
      <c r="J1395" s="1" t="s">
        <v>32</v>
      </c>
      <c r="K1395" s="1" t="s">
        <v>419</v>
      </c>
      <c r="L1395" s="1" t="s">
        <v>417</v>
      </c>
      <c r="M1395" s="1"/>
      <c r="N1395" s="1" t="s">
        <v>128</v>
      </c>
      <c r="O1395" s="31">
        <v>4</v>
      </c>
      <c r="P1395" s="31">
        <v>1</v>
      </c>
      <c r="Q1395" s="32">
        <v>2008</v>
      </c>
    </row>
    <row r="1396" spans="1:17" x14ac:dyDescent="0.25">
      <c r="A1396" s="1" t="s">
        <v>421</v>
      </c>
      <c r="B1396" s="31">
        <v>46.6</v>
      </c>
      <c r="C1396" s="1" t="s">
        <v>20</v>
      </c>
      <c r="D1396" s="2">
        <v>42705</v>
      </c>
      <c r="E1396" s="2">
        <v>42705</v>
      </c>
      <c r="F1396" s="17">
        <v>1600000</v>
      </c>
      <c r="G1396" s="17">
        <v>34334.76</v>
      </c>
      <c r="H1396" s="1"/>
      <c r="I1396" s="1" t="s">
        <v>21</v>
      </c>
      <c r="J1396" s="1" t="s">
        <v>32</v>
      </c>
      <c r="K1396" s="1" t="s">
        <v>419</v>
      </c>
      <c r="L1396" s="1" t="s">
        <v>417</v>
      </c>
      <c r="M1396" s="1"/>
      <c r="N1396" s="1" t="s">
        <v>431</v>
      </c>
      <c r="O1396" s="31">
        <v>4</v>
      </c>
      <c r="P1396" s="31">
        <v>1</v>
      </c>
      <c r="Q1396" s="32">
        <v>2002</v>
      </c>
    </row>
    <row r="1397" spans="1:17" x14ac:dyDescent="0.25">
      <c r="A1397" s="1" t="s">
        <v>424</v>
      </c>
      <c r="B1397" s="31">
        <v>58</v>
      </c>
      <c r="C1397" s="1" t="s">
        <v>20</v>
      </c>
      <c r="D1397" s="2">
        <v>42767</v>
      </c>
      <c r="E1397" s="2">
        <v>42767</v>
      </c>
      <c r="F1397" s="17">
        <v>2000000</v>
      </c>
      <c r="G1397" s="17">
        <v>34482.76</v>
      </c>
      <c r="H1397" s="1"/>
      <c r="I1397" s="1" t="s">
        <v>21</v>
      </c>
      <c r="J1397" s="1" t="s">
        <v>32</v>
      </c>
      <c r="K1397" s="1" t="s">
        <v>419</v>
      </c>
      <c r="L1397" s="1" t="s">
        <v>417</v>
      </c>
      <c r="M1397" s="1"/>
      <c r="N1397" s="1" t="s">
        <v>128</v>
      </c>
      <c r="O1397" s="31">
        <v>4</v>
      </c>
      <c r="P1397" s="31">
        <v>1</v>
      </c>
      <c r="Q1397" s="32">
        <v>2001</v>
      </c>
    </row>
    <row r="1398" spans="1:17" x14ac:dyDescent="0.25">
      <c r="A1398" s="1" t="s">
        <v>424</v>
      </c>
      <c r="B1398" s="31">
        <v>33.4</v>
      </c>
      <c r="C1398" s="1" t="s">
        <v>20</v>
      </c>
      <c r="D1398" s="2">
        <v>42644</v>
      </c>
      <c r="E1398" s="2">
        <v>42675</v>
      </c>
      <c r="F1398" s="17">
        <v>1160000</v>
      </c>
      <c r="G1398" s="17">
        <v>34730.54</v>
      </c>
      <c r="H1398" s="1"/>
      <c r="I1398" s="1" t="s">
        <v>21</v>
      </c>
      <c r="J1398" s="1" t="s">
        <v>32</v>
      </c>
      <c r="K1398" s="1" t="s">
        <v>419</v>
      </c>
      <c r="L1398" s="1" t="s">
        <v>417</v>
      </c>
      <c r="M1398" s="1"/>
      <c r="N1398" s="1"/>
      <c r="O1398" s="31">
        <v>2</v>
      </c>
      <c r="P1398" s="31">
        <v>1</v>
      </c>
      <c r="Q1398" s="32">
        <v>2009</v>
      </c>
    </row>
    <row r="1399" spans="1:17" x14ac:dyDescent="0.25">
      <c r="A1399" s="1" t="s">
        <v>425</v>
      </c>
      <c r="B1399" s="31">
        <v>31.6</v>
      </c>
      <c r="C1399" s="1" t="s">
        <v>20</v>
      </c>
      <c r="D1399" s="2">
        <v>42736</v>
      </c>
      <c r="E1399" s="2">
        <v>42736</v>
      </c>
      <c r="F1399" s="17">
        <v>1112000</v>
      </c>
      <c r="G1399" s="17">
        <v>35189.870000000003</v>
      </c>
      <c r="H1399" s="1"/>
      <c r="I1399" s="1" t="s">
        <v>21</v>
      </c>
      <c r="J1399" s="1" t="s">
        <v>32</v>
      </c>
      <c r="K1399" s="1" t="s">
        <v>419</v>
      </c>
      <c r="L1399" s="1" t="s">
        <v>417</v>
      </c>
      <c r="M1399" s="1"/>
      <c r="N1399" s="1" t="s">
        <v>426</v>
      </c>
      <c r="O1399" s="31">
        <v>3</v>
      </c>
      <c r="P1399" s="31">
        <v>2</v>
      </c>
      <c r="Q1399" s="32">
        <v>2005</v>
      </c>
    </row>
    <row r="1400" spans="1:17" x14ac:dyDescent="0.25">
      <c r="A1400" s="1" t="s">
        <v>425</v>
      </c>
      <c r="B1400" s="31">
        <v>31.6</v>
      </c>
      <c r="C1400" s="1" t="s">
        <v>20</v>
      </c>
      <c r="D1400" s="2">
        <v>42736</v>
      </c>
      <c r="E1400" s="2">
        <v>42736</v>
      </c>
      <c r="F1400" s="17">
        <v>1112000</v>
      </c>
      <c r="G1400" s="17">
        <v>35189.870000000003</v>
      </c>
      <c r="H1400" s="1"/>
      <c r="I1400" s="1" t="s">
        <v>21</v>
      </c>
      <c r="J1400" s="1" t="s">
        <v>32</v>
      </c>
      <c r="K1400" s="1" t="s">
        <v>419</v>
      </c>
      <c r="L1400" s="1" t="s">
        <v>417</v>
      </c>
      <c r="M1400" s="1"/>
      <c r="N1400" s="1" t="s">
        <v>426</v>
      </c>
      <c r="O1400" s="31">
        <v>3</v>
      </c>
      <c r="P1400" s="31">
        <v>2</v>
      </c>
      <c r="Q1400" s="32">
        <v>2005</v>
      </c>
    </row>
    <row r="1401" spans="1:17" x14ac:dyDescent="0.25">
      <c r="A1401" s="1" t="s">
        <v>423</v>
      </c>
      <c r="B1401" s="31">
        <v>48.2</v>
      </c>
      <c r="C1401" s="1" t="s">
        <v>20</v>
      </c>
      <c r="D1401" s="2">
        <v>42767</v>
      </c>
      <c r="E1401" s="2">
        <v>42767</v>
      </c>
      <c r="F1401" s="17">
        <v>1700000</v>
      </c>
      <c r="G1401" s="17">
        <v>35269.71</v>
      </c>
      <c r="H1401" s="1"/>
      <c r="I1401" s="1" t="s">
        <v>21</v>
      </c>
      <c r="J1401" s="1" t="s">
        <v>32</v>
      </c>
      <c r="K1401" s="1" t="s">
        <v>419</v>
      </c>
      <c r="L1401" s="1" t="s">
        <v>417</v>
      </c>
      <c r="M1401" s="1"/>
      <c r="N1401" s="1" t="s">
        <v>128</v>
      </c>
      <c r="O1401" s="31">
        <v>5</v>
      </c>
      <c r="P1401" s="31">
        <v>1</v>
      </c>
      <c r="Q1401" s="32">
        <v>2007</v>
      </c>
    </row>
    <row r="1402" spans="1:17" x14ac:dyDescent="0.25">
      <c r="A1402" s="1" t="s">
        <v>425</v>
      </c>
      <c r="B1402" s="31">
        <v>30.3</v>
      </c>
      <c r="C1402" s="1" t="s">
        <v>20</v>
      </c>
      <c r="D1402" s="2">
        <v>42736</v>
      </c>
      <c r="E1402" s="2">
        <v>42736</v>
      </c>
      <c r="F1402" s="17">
        <v>1080000</v>
      </c>
      <c r="G1402" s="17">
        <v>35643.56</v>
      </c>
      <c r="H1402" s="1"/>
      <c r="I1402" s="1" t="s">
        <v>21</v>
      </c>
      <c r="J1402" s="1" t="s">
        <v>32</v>
      </c>
      <c r="K1402" s="1" t="s">
        <v>419</v>
      </c>
      <c r="L1402" s="1" t="s">
        <v>417</v>
      </c>
      <c r="M1402" s="1"/>
      <c r="N1402" s="1" t="s">
        <v>426</v>
      </c>
      <c r="O1402" s="31">
        <v>5</v>
      </c>
      <c r="P1402" s="31">
        <v>2</v>
      </c>
      <c r="Q1402" s="32">
        <v>2016</v>
      </c>
    </row>
    <row r="1403" spans="1:17" x14ac:dyDescent="0.25">
      <c r="A1403" s="1" t="s">
        <v>425</v>
      </c>
      <c r="B1403" s="31">
        <v>30.3</v>
      </c>
      <c r="C1403" s="1" t="s">
        <v>20</v>
      </c>
      <c r="D1403" s="2">
        <v>42736</v>
      </c>
      <c r="E1403" s="2">
        <v>42736</v>
      </c>
      <c r="F1403" s="17">
        <v>1080000</v>
      </c>
      <c r="G1403" s="17">
        <v>35643.56</v>
      </c>
      <c r="H1403" s="1"/>
      <c r="I1403" s="1" t="s">
        <v>21</v>
      </c>
      <c r="J1403" s="1" t="s">
        <v>32</v>
      </c>
      <c r="K1403" s="1" t="s">
        <v>419</v>
      </c>
      <c r="L1403" s="1" t="s">
        <v>417</v>
      </c>
      <c r="M1403" s="1"/>
      <c r="N1403" s="1" t="s">
        <v>426</v>
      </c>
      <c r="O1403" s="31">
        <v>5</v>
      </c>
      <c r="P1403" s="31">
        <v>2</v>
      </c>
      <c r="Q1403" s="32">
        <v>2016</v>
      </c>
    </row>
    <row r="1404" spans="1:17" x14ac:dyDescent="0.25">
      <c r="A1404" s="1" t="s">
        <v>418</v>
      </c>
      <c r="B1404" s="31">
        <v>35.9</v>
      </c>
      <c r="C1404" s="1" t="s">
        <v>20</v>
      </c>
      <c r="D1404" s="2">
        <v>42705</v>
      </c>
      <c r="E1404" s="2">
        <v>42705</v>
      </c>
      <c r="F1404" s="17">
        <v>1300000</v>
      </c>
      <c r="G1404" s="17">
        <v>36211.699999999997</v>
      </c>
      <c r="H1404" s="1"/>
      <c r="I1404" s="1" t="s">
        <v>21</v>
      </c>
      <c r="J1404" s="1" t="s">
        <v>32</v>
      </c>
      <c r="K1404" s="1" t="s">
        <v>419</v>
      </c>
      <c r="L1404" s="1" t="s">
        <v>417</v>
      </c>
      <c r="M1404" s="1"/>
      <c r="N1404" s="1" t="s">
        <v>62</v>
      </c>
      <c r="O1404" s="31">
        <v>4</v>
      </c>
      <c r="P1404" s="31">
        <v>1</v>
      </c>
      <c r="Q1404" s="32">
        <v>2013</v>
      </c>
    </row>
    <row r="1405" spans="1:17" x14ac:dyDescent="0.25">
      <c r="A1405" s="1" t="s">
        <v>423</v>
      </c>
      <c r="B1405" s="31">
        <v>44</v>
      </c>
      <c r="C1405" s="1" t="s">
        <v>20</v>
      </c>
      <c r="D1405" s="2">
        <v>42705</v>
      </c>
      <c r="E1405" s="2">
        <v>42705</v>
      </c>
      <c r="F1405" s="17">
        <v>1600000</v>
      </c>
      <c r="G1405" s="17">
        <v>36363.64</v>
      </c>
      <c r="H1405" s="1"/>
      <c r="I1405" s="1" t="s">
        <v>21</v>
      </c>
      <c r="J1405" s="1" t="s">
        <v>32</v>
      </c>
      <c r="K1405" s="1" t="s">
        <v>419</v>
      </c>
      <c r="L1405" s="1" t="s">
        <v>417</v>
      </c>
      <c r="M1405" s="1"/>
      <c r="N1405" s="1" t="s">
        <v>426</v>
      </c>
      <c r="O1405" s="31">
        <v>5</v>
      </c>
      <c r="P1405" s="31">
        <v>1</v>
      </c>
      <c r="Q1405" s="32">
        <v>2009</v>
      </c>
    </row>
    <row r="1406" spans="1:17" x14ac:dyDescent="0.25">
      <c r="A1406" s="1" t="s">
        <v>418</v>
      </c>
      <c r="B1406" s="31">
        <v>31.8</v>
      </c>
      <c r="C1406" s="1" t="s">
        <v>20</v>
      </c>
      <c r="D1406" s="2">
        <v>42705</v>
      </c>
      <c r="E1406" s="2">
        <v>42736</v>
      </c>
      <c r="F1406" s="17">
        <v>1160000</v>
      </c>
      <c r="G1406" s="17">
        <v>36477.99</v>
      </c>
      <c r="H1406" s="1"/>
      <c r="I1406" s="1" t="s">
        <v>21</v>
      </c>
      <c r="J1406" s="1" t="s">
        <v>32</v>
      </c>
      <c r="K1406" s="1" t="s">
        <v>419</v>
      </c>
      <c r="L1406" s="1" t="s">
        <v>417</v>
      </c>
      <c r="M1406" s="1"/>
      <c r="N1406" s="1" t="s">
        <v>62</v>
      </c>
      <c r="O1406" s="31">
        <v>4</v>
      </c>
      <c r="P1406" s="31">
        <v>1</v>
      </c>
      <c r="Q1406" s="32">
        <v>2005</v>
      </c>
    </row>
    <row r="1407" spans="1:17" x14ac:dyDescent="0.25">
      <c r="A1407" s="1" t="s">
        <v>423</v>
      </c>
      <c r="B1407" s="31">
        <v>32.200000000000003</v>
      </c>
      <c r="C1407" s="1" t="s">
        <v>20</v>
      </c>
      <c r="D1407" s="2">
        <v>42705</v>
      </c>
      <c r="E1407" s="2">
        <v>42705</v>
      </c>
      <c r="F1407" s="17">
        <v>1200000</v>
      </c>
      <c r="G1407" s="17">
        <v>37267.08</v>
      </c>
      <c r="H1407" s="1"/>
      <c r="I1407" s="1" t="s">
        <v>21</v>
      </c>
      <c r="J1407" s="1" t="s">
        <v>32</v>
      </c>
      <c r="K1407" s="1" t="s">
        <v>419</v>
      </c>
      <c r="L1407" s="1" t="s">
        <v>417</v>
      </c>
      <c r="M1407" s="1"/>
      <c r="N1407" s="1" t="s">
        <v>157</v>
      </c>
      <c r="O1407" s="31">
        <v>4</v>
      </c>
      <c r="P1407" s="31">
        <v>1</v>
      </c>
      <c r="Q1407" s="32">
        <v>2002</v>
      </c>
    </row>
    <row r="1408" spans="1:17" x14ac:dyDescent="0.25">
      <c r="A1408" s="1" t="s">
        <v>424</v>
      </c>
      <c r="B1408" s="31">
        <v>32.1</v>
      </c>
      <c r="C1408" s="1" t="s">
        <v>20</v>
      </c>
      <c r="D1408" s="2">
        <v>42675</v>
      </c>
      <c r="E1408" s="2">
        <v>42705</v>
      </c>
      <c r="F1408" s="17">
        <v>1227864</v>
      </c>
      <c r="G1408" s="17">
        <v>38251.22</v>
      </c>
      <c r="H1408" s="1"/>
      <c r="I1408" s="1" t="s">
        <v>21</v>
      </c>
      <c r="J1408" s="1" t="s">
        <v>32</v>
      </c>
      <c r="K1408" s="1" t="s">
        <v>419</v>
      </c>
      <c r="L1408" s="1" t="s">
        <v>417</v>
      </c>
      <c r="M1408" s="1"/>
      <c r="N1408" s="1" t="s">
        <v>128</v>
      </c>
      <c r="O1408" s="31">
        <v>2</v>
      </c>
      <c r="P1408" s="31">
        <v>1</v>
      </c>
      <c r="Q1408" s="32">
        <v>2002</v>
      </c>
    </row>
    <row r="1409" spans="1:17" s="9" customFormat="1" ht="15.75" thickBot="1" x14ac:dyDescent="0.3">
      <c r="A1409" s="25"/>
      <c r="B1409" s="33"/>
      <c r="C1409" s="25"/>
      <c r="D1409" s="25"/>
      <c r="E1409" s="25"/>
      <c r="F1409" s="26"/>
      <c r="G1409" s="26">
        <f>SUM(G1308:G1408)/101</f>
        <v>26804.008712871295</v>
      </c>
      <c r="H1409" s="25"/>
      <c r="I1409" s="25"/>
      <c r="J1409" s="25"/>
      <c r="K1409" s="25"/>
      <c r="L1409" s="25"/>
      <c r="M1409" s="25"/>
      <c r="N1409" s="25"/>
      <c r="O1409" s="33"/>
      <c r="P1409" s="33"/>
      <c r="Q1409" s="34"/>
    </row>
    <row r="1410" spans="1:17" s="6" customFormat="1" x14ac:dyDescent="0.25">
      <c r="A1410" s="4" t="s">
        <v>435</v>
      </c>
      <c r="B1410" s="35"/>
      <c r="C1410" s="5"/>
      <c r="D1410" s="5"/>
      <c r="E1410" s="5"/>
      <c r="F1410" s="19"/>
      <c r="G1410" s="19"/>
      <c r="H1410" s="5"/>
      <c r="I1410" s="5"/>
      <c r="J1410" s="5"/>
      <c r="K1410" s="5"/>
      <c r="L1410" s="5"/>
      <c r="M1410" s="5"/>
      <c r="N1410" s="5"/>
      <c r="O1410" s="35"/>
      <c r="P1410" s="35"/>
      <c r="Q1410" s="36"/>
    </row>
    <row r="1411" spans="1:17" x14ac:dyDescent="0.25">
      <c r="A1411" s="1" t="s">
        <v>436</v>
      </c>
      <c r="B1411" s="31">
        <v>88.3</v>
      </c>
      <c r="C1411" s="1" t="s">
        <v>20</v>
      </c>
      <c r="D1411" s="2">
        <v>42644</v>
      </c>
      <c r="E1411" s="2">
        <v>42675</v>
      </c>
      <c r="F1411" s="17">
        <v>800000</v>
      </c>
      <c r="G1411" s="17">
        <v>9060.02</v>
      </c>
      <c r="H1411" s="1"/>
      <c r="I1411" s="1" t="s">
        <v>21</v>
      </c>
      <c r="J1411" s="1" t="s">
        <v>22</v>
      </c>
      <c r="K1411" s="1" t="s">
        <v>437</v>
      </c>
      <c r="L1411" s="1"/>
      <c r="M1411" s="1" t="s">
        <v>435</v>
      </c>
      <c r="N1411" s="1" t="s">
        <v>344</v>
      </c>
      <c r="O1411" s="31">
        <v>1</v>
      </c>
      <c r="P1411" s="31">
        <v>1</v>
      </c>
      <c r="Q1411" s="32">
        <v>2014</v>
      </c>
    </row>
    <row r="1412" spans="1:17" x14ac:dyDescent="0.25">
      <c r="A1412" s="1" t="s">
        <v>438</v>
      </c>
      <c r="B1412" s="31">
        <v>43.4</v>
      </c>
      <c r="C1412" s="1" t="s">
        <v>20</v>
      </c>
      <c r="D1412" s="2">
        <v>42644</v>
      </c>
      <c r="E1412" s="2">
        <v>42644</v>
      </c>
      <c r="F1412" s="17">
        <v>570000</v>
      </c>
      <c r="G1412" s="17">
        <v>13133.64</v>
      </c>
      <c r="H1412" s="1"/>
      <c r="I1412" s="1" t="s">
        <v>21</v>
      </c>
      <c r="J1412" s="1" t="s">
        <v>22</v>
      </c>
      <c r="K1412" s="1" t="s">
        <v>437</v>
      </c>
      <c r="L1412" s="1"/>
      <c r="M1412" s="1" t="s">
        <v>435</v>
      </c>
      <c r="N1412" s="1" t="s">
        <v>265</v>
      </c>
      <c r="O1412" s="31">
        <v>2</v>
      </c>
      <c r="P1412" s="31">
        <v>1</v>
      </c>
      <c r="Q1412" s="32">
        <v>2005</v>
      </c>
    </row>
    <row r="1413" spans="1:17" s="9" customFormat="1" ht="15.75" thickBot="1" x14ac:dyDescent="0.3">
      <c r="A1413" s="25"/>
      <c r="B1413" s="33"/>
      <c r="C1413" s="25"/>
      <c r="D1413" s="25"/>
      <c r="E1413" s="25"/>
      <c r="F1413" s="26"/>
      <c r="G1413" s="26">
        <f>SUM(G1411:G1412)/2</f>
        <v>11096.83</v>
      </c>
      <c r="H1413" s="25"/>
      <c r="I1413" s="25"/>
      <c r="J1413" s="25"/>
      <c r="K1413" s="25"/>
      <c r="L1413" s="25"/>
      <c r="M1413" s="25"/>
      <c r="N1413" s="25"/>
      <c r="O1413" s="33"/>
      <c r="P1413" s="33"/>
      <c r="Q1413" s="34"/>
    </row>
    <row r="1414" spans="1:17" s="6" customFormat="1" x14ac:dyDescent="0.25">
      <c r="A1414" s="4" t="s">
        <v>439</v>
      </c>
      <c r="B1414" s="35"/>
      <c r="C1414" s="5"/>
      <c r="D1414" s="5"/>
      <c r="E1414" s="5"/>
      <c r="F1414" s="19"/>
      <c r="G1414" s="19"/>
      <c r="H1414" s="5"/>
      <c r="I1414" s="5"/>
      <c r="J1414" s="5"/>
      <c r="K1414" s="5"/>
      <c r="L1414" s="5"/>
      <c r="M1414" s="5"/>
      <c r="N1414" s="5"/>
      <c r="O1414" s="35"/>
      <c r="P1414" s="35"/>
      <c r="Q1414" s="36"/>
    </row>
    <row r="1415" spans="1:17" x14ac:dyDescent="0.25">
      <c r="A1415" s="1" t="s">
        <v>440</v>
      </c>
      <c r="B1415" s="31">
        <v>59.3</v>
      </c>
      <c r="C1415" s="1" t="s">
        <v>20</v>
      </c>
      <c r="D1415" s="2">
        <v>42736</v>
      </c>
      <c r="E1415" s="2">
        <v>42736</v>
      </c>
      <c r="F1415" s="17">
        <v>1105000</v>
      </c>
      <c r="G1415" s="17">
        <v>18634.060000000001</v>
      </c>
      <c r="H1415" s="1"/>
      <c r="I1415" s="1" t="s">
        <v>21</v>
      </c>
      <c r="J1415" s="1" t="s">
        <v>22</v>
      </c>
      <c r="K1415" s="1" t="s">
        <v>441</v>
      </c>
      <c r="L1415" s="1"/>
      <c r="M1415" s="1" t="s">
        <v>439</v>
      </c>
      <c r="N1415" s="1" t="s">
        <v>126</v>
      </c>
      <c r="O1415" s="31">
        <v>2</v>
      </c>
      <c r="P1415" s="31">
        <v>2</v>
      </c>
      <c r="Q1415" s="32">
        <v>2001</v>
      </c>
    </row>
    <row r="1416" spans="1:17" x14ac:dyDescent="0.25">
      <c r="A1416" s="1" t="s">
        <v>440</v>
      </c>
      <c r="B1416" s="31">
        <v>59.3</v>
      </c>
      <c r="C1416" s="1" t="s">
        <v>20</v>
      </c>
      <c r="D1416" s="2">
        <v>42736</v>
      </c>
      <c r="E1416" s="2">
        <v>42736</v>
      </c>
      <c r="F1416" s="17">
        <v>1105000</v>
      </c>
      <c r="G1416" s="17">
        <v>18634.060000000001</v>
      </c>
      <c r="H1416" s="1"/>
      <c r="I1416" s="1" t="s">
        <v>21</v>
      </c>
      <c r="J1416" s="1" t="s">
        <v>22</v>
      </c>
      <c r="K1416" s="1" t="s">
        <v>441</v>
      </c>
      <c r="L1416" s="1"/>
      <c r="M1416" s="1" t="s">
        <v>439</v>
      </c>
      <c r="N1416" s="1" t="s">
        <v>126</v>
      </c>
      <c r="O1416" s="31">
        <v>2</v>
      </c>
      <c r="P1416" s="31">
        <v>2</v>
      </c>
      <c r="Q1416" s="32">
        <v>2001</v>
      </c>
    </row>
    <row r="1417" spans="1:17" x14ac:dyDescent="0.25">
      <c r="A1417" s="1" t="s">
        <v>442</v>
      </c>
      <c r="B1417" s="31">
        <v>50.4</v>
      </c>
      <c r="C1417" s="1" t="s">
        <v>20</v>
      </c>
      <c r="D1417" s="2">
        <v>42767</v>
      </c>
      <c r="E1417" s="2">
        <v>42767</v>
      </c>
      <c r="F1417" s="17">
        <v>1140000</v>
      </c>
      <c r="G1417" s="17">
        <v>22619.05</v>
      </c>
      <c r="H1417" s="1"/>
      <c r="I1417" s="1" t="s">
        <v>21</v>
      </c>
      <c r="J1417" s="1" t="s">
        <v>32</v>
      </c>
      <c r="K1417" s="1" t="s">
        <v>441</v>
      </c>
      <c r="L1417" s="1"/>
      <c r="M1417" s="1" t="s">
        <v>439</v>
      </c>
      <c r="N1417" s="1" t="s">
        <v>443</v>
      </c>
      <c r="O1417" s="31">
        <v>2</v>
      </c>
      <c r="P1417" s="31">
        <v>2</v>
      </c>
      <c r="Q1417" s="32">
        <v>2001</v>
      </c>
    </row>
    <row r="1418" spans="1:17" x14ac:dyDescent="0.25">
      <c r="A1418" s="1" t="s">
        <v>442</v>
      </c>
      <c r="B1418" s="31">
        <v>50.4</v>
      </c>
      <c r="C1418" s="1" t="s">
        <v>20</v>
      </c>
      <c r="D1418" s="2">
        <v>42767</v>
      </c>
      <c r="E1418" s="2">
        <v>42767</v>
      </c>
      <c r="F1418" s="17">
        <v>1140000</v>
      </c>
      <c r="G1418" s="17">
        <v>22619.05</v>
      </c>
      <c r="H1418" s="1"/>
      <c r="I1418" s="1" t="s">
        <v>21</v>
      </c>
      <c r="J1418" s="1" t="s">
        <v>32</v>
      </c>
      <c r="K1418" s="1" t="s">
        <v>441</v>
      </c>
      <c r="L1418" s="1"/>
      <c r="M1418" s="1" t="s">
        <v>439</v>
      </c>
      <c r="N1418" s="1" t="s">
        <v>443</v>
      </c>
      <c r="O1418" s="31">
        <v>2</v>
      </c>
      <c r="P1418" s="31">
        <v>2</v>
      </c>
      <c r="Q1418" s="32">
        <v>2001</v>
      </c>
    </row>
    <row r="1419" spans="1:17" s="9" customFormat="1" ht="15.75" thickBot="1" x14ac:dyDescent="0.3">
      <c r="A1419" s="25"/>
      <c r="B1419" s="33"/>
      <c r="C1419" s="25"/>
      <c r="D1419" s="25"/>
      <c r="E1419" s="25"/>
      <c r="F1419" s="26"/>
      <c r="G1419" s="26">
        <f>SUM(G1415:G1418)/4</f>
        <v>20626.555</v>
      </c>
      <c r="H1419" s="25"/>
      <c r="I1419" s="25"/>
      <c r="J1419" s="25"/>
      <c r="K1419" s="25"/>
      <c r="L1419" s="25"/>
      <c r="M1419" s="25"/>
      <c r="N1419" s="25"/>
      <c r="O1419" s="33"/>
      <c r="P1419" s="33"/>
      <c r="Q1419" s="34"/>
    </row>
    <row r="1420" spans="1:17" s="6" customFormat="1" x14ac:dyDescent="0.25">
      <c r="A1420" s="4" t="s">
        <v>444</v>
      </c>
      <c r="B1420" s="35"/>
      <c r="C1420" s="5"/>
      <c r="D1420" s="5"/>
      <c r="E1420" s="5"/>
      <c r="F1420" s="19"/>
      <c r="G1420" s="19"/>
      <c r="H1420" s="5"/>
      <c r="I1420" s="5"/>
      <c r="J1420" s="5"/>
      <c r="K1420" s="5"/>
      <c r="L1420" s="5"/>
      <c r="M1420" s="5"/>
      <c r="N1420" s="5"/>
      <c r="O1420" s="35"/>
      <c r="P1420" s="35"/>
      <c r="Q1420" s="36"/>
    </row>
    <row r="1421" spans="1:17" x14ac:dyDescent="0.25">
      <c r="A1421" s="1" t="s">
        <v>445</v>
      </c>
      <c r="B1421" s="31">
        <v>28.5</v>
      </c>
      <c r="C1421" s="1" t="s">
        <v>20</v>
      </c>
      <c r="D1421" s="2">
        <v>42705</v>
      </c>
      <c r="E1421" s="2">
        <v>42705</v>
      </c>
      <c r="F1421" s="17">
        <v>300000</v>
      </c>
      <c r="G1421" s="17">
        <v>10526.32</v>
      </c>
      <c r="H1421" s="1"/>
      <c r="I1421" s="1" t="s">
        <v>21</v>
      </c>
      <c r="J1421" s="1" t="s">
        <v>22</v>
      </c>
      <c r="K1421" s="1" t="s">
        <v>446</v>
      </c>
      <c r="L1421" s="1" t="s">
        <v>444</v>
      </c>
      <c r="M1421" s="1"/>
      <c r="N1421" s="1"/>
      <c r="O1421" s="31">
        <v>1</v>
      </c>
      <c r="P1421" s="31">
        <v>1</v>
      </c>
      <c r="Q1421" s="32">
        <v>2016</v>
      </c>
    </row>
    <row r="1422" spans="1:17" x14ac:dyDescent="0.25">
      <c r="A1422" s="1" t="s">
        <v>445</v>
      </c>
      <c r="B1422" s="31">
        <v>55.3</v>
      </c>
      <c r="C1422" s="1" t="s">
        <v>20</v>
      </c>
      <c r="D1422" s="2">
        <v>42795</v>
      </c>
      <c r="E1422" s="2">
        <v>42795</v>
      </c>
      <c r="F1422" s="17">
        <v>600000</v>
      </c>
      <c r="G1422" s="17">
        <v>10849.91</v>
      </c>
      <c r="H1422" s="1"/>
      <c r="I1422" s="1" t="s">
        <v>21</v>
      </c>
      <c r="J1422" s="1" t="s">
        <v>32</v>
      </c>
      <c r="K1422" s="1" t="s">
        <v>446</v>
      </c>
      <c r="L1422" s="1" t="s">
        <v>444</v>
      </c>
      <c r="M1422" s="1"/>
      <c r="N1422" s="1"/>
      <c r="O1422" s="31">
        <v>1</v>
      </c>
      <c r="P1422" s="31">
        <v>1</v>
      </c>
      <c r="Q1422" s="32">
        <v>2005</v>
      </c>
    </row>
    <row r="1423" spans="1:17" x14ac:dyDescent="0.25">
      <c r="A1423" s="1" t="s">
        <v>447</v>
      </c>
      <c r="B1423" s="31">
        <v>37</v>
      </c>
      <c r="C1423" s="1" t="s">
        <v>20</v>
      </c>
      <c r="D1423" s="2">
        <v>42614</v>
      </c>
      <c r="E1423" s="2">
        <v>42644</v>
      </c>
      <c r="F1423" s="17">
        <v>408026</v>
      </c>
      <c r="G1423" s="17">
        <v>11027.73</v>
      </c>
      <c r="H1423" s="1"/>
      <c r="I1423" s="1" t="s">
        <v>21</v>
      </c>
      <c r="J1423" s="1" t="s">
        <v>32</v>
      </c>
      <c r="K1423" s="1" t="s">
        <v>446</v>
      </c>
      <c r="L1423" s="1" t="s">
        <v>444</v>
      </c>
      <c r="M1423" s="1"/>
      <c r="N1423" s="1" t="s">
        <v>59</v>
      </c>
      <c r="O1423" s="31">
        <v>2</v>
      </c>
      <c r="P1423" s="31">
        <v>1</v>
      </c>
      <c r="Q1423" s="32">
        <v>2002</v>
      </c>
    </row>
    <row r="1424" spans="1:17" x14ac:dyDescent="0.25">
      <c r="A1424" s="1" t="s">
        <v>448</v>
      </c>
      <c r="B1424" s="31">
        <v>49.7</v>
      </c>
      <c r="C1424" s="1" t="s">
        <v>20</v>
      </c>
      <c r="D1424" s="2">
        <v>42705</v>
      </c>
      <c r="E1424" s="2">
        <v>42705</v>
      </c>
      <c r="F1424" s="17">
        <v>650000</v>
      </c>
      <c r="G1424" s="17">
        <v>13078.47</v>
      </c>
      <c r="H1424" s="1"/>
      <c r="I1424" s="1" t="s">
        <v>21</v>
      </c>
      <c r="J1424" s="1" t="s">
        <v>22</v>
      </c>
      <c r="K1424" s="1" t="s">
        <v>446</v>
      </c>
      <c r="L1424" s="1" t="s">
        <v>444</v>
      </c>
      <c r="M1424" s="1"/>
      <c r="N1424" s="1" t="s">
        <v>59</v>
      </c>
      <c r="O1424" s="31">
        <v>5</v>
      </c>
      <c r="P1424" s="31">
        <v>1</v>
      </c>
      <c r="Q1424" s="32">
        <v>2016</v>
      </c>
    </row>
    <row r="1425" spans="1:17" x14ac:dyDescent="0.25">
      <c r="A1425" s="1" t="s">
        <v>445</v>
      </c>
      <c r="B1425" s="31">
        <v>51.1</v>
      </c>
      <c r="C1425" s="1" t="s">
        <v>20</v>
      </c>
      <c r="D1425" s="2">
        <v>42675</v>
      </c>
      <c r="E1425" s="2">
        <v>42675</v>
      </c>
      <c r="F1425" s="17">
        <v>700000</v>
      </c>
      <c r="G1425" s="17">
        <v>13698.63</v>
      </c>
      <c r="H1425" s="1"/>
      <c r="I1425" s="1" t="s">
        <v>21</v>
      </c>
      <c r="J1425" s="1" t="s">
        <v>32</v>
      </c>
      <c r="K1425" s="1" t="s">
        <v>446</v>
      </c>
      <c r="L1425" s="1" t="s">
        <v>444</v>
      </c>
      <c r="M1425" s="1"/>
      <c r="N1425" s="1"/>
      <c r="O1425" s="31">
        <v>2</v>
      </c>
      <c r="P1425" s="31">
        <v>1</v>
      </c>
      <c r="Q1425" s="32">
        <v>2012</v>
      </c>
    </row>
    <row r="1426" spans="1:17" x14ac:dyDescent="0.25">
      <c r="A1426" s="1" t="s">
        <v>462</v>
      </c>
      <c r="B1426" s="31">
        <v>34.4</v>
      </c>
      <c r="C1426" s="1" t="s">
        <v>20</v>
      </c>
      <c r="D1426" s="2">
        <v>42736</v>
      </c>
      <c r="E1426" s="2">
        <v>42736</v>
      </c>
      <c r="F1426" s="17">
        <v>500000</v>
      </c>
      <c r="G1426" s="17">
        <v>14534.88</v>
      </c>
      <c r="H1426" s="1"/>
      <c r="I1426" s="1" t="s">
        <v>21</v>
      </c>
      <c r="J1426" s="1" t="s">
        <v>32</v>
      </c>
      <c r="K1426" s="1" t="s">
        <v>446</v>
      </c>
      <c r="L1426" s="1" t="s">
        <v>444</v>
      </c>
      <c r="M1426" s="1"/>
      <c r="N1426" s="1" t="s">
        <v>455</v>
      </c>
      <c r="O1426" s="31">
        <v>2</v>
      </c>
      <c r="P1426" s="31">
        <v>1</v>
      </c>
      <c r="Q1426" s="32">
        <v>2007</v>
      </c>
    </row>
    <row r="1427" spans="1:17" x14ac:dyDescent="0.25">
      <c r="A1427" s="1" t="s">
        <v>459</v>
      </c>
      <c r="B1427" s="31">
        <v>79.599999999999994</v>
      </c>
      <c r="C1427" s="1" t="s">
        <v>20</v>
      </c>
      <c r="D1427" s="2">
        <v>42705</v>
      </c>
      <c r="E1427" s="2">
        <v>42705</v>
      </c>
      <c r="F1427" s="17">
        <v>1200000</v>
      </c>
      <c r="G1427" s="17">
        <v>15075.38</v>
      </c>
      <c r="H1427" s="1"/>
      <c r="I1427" s="1" t="s">
        <v>21</v>
      </c>
      <c r="J1427" s="1" t="s">
        <v>32</v>
      </c>
      <c r="K1427" s="1" t="s">
        <v>446</v>
      </c>
      <c r="L1427" s="1" t="s">
        <v>444</v>
      </c>
      <c r="M1427" s="1"/>
      <c r="N1427" s="1" t="s">
        <v>455</v>
      </c>
      <c r="O1427" s="31">
        <v>2</v>
      </c>
      <c r="P1427" s="31">
        <v>1</v>
      </c>
      <c r="Q1427" s="32">
        <v>2001</v>
      </c>
    </row>
    <row r="1428" spans="1:17" x14ac:dyDescent="0.25">
      <c r="A1428" s="1" t="s">
        <v>445</v>
      </c>
      <c r="B1428" s="31">
        <v>42.2</v>
      </c>
      <c r="C1428" s="1" t="s">
        <v>20</v>
      </c>
      <c r="D1428" s="2">
        <v>42644</v>
      </c>
      <c r="E1428" s="2">
        <v>42644</v>
      </c>
      <c r="F1428" s="17">
        <v>650000</v>
      </c>
      <c r="G1428" s="17">
        <v>15402.84</v>
      </c>
      <c r="H1428" s="1"/>
      <c r="I1428" s="1" t="s">
        <v>21</v>
      </c>
      <c r="J1428" s="1" t="s">
        <v>32</v>
      </c>
      <c r="K1428" s="1" t="s">
        <v>446</v>
      </c>
      <c r="L1428" s="1" t="s">
        <v>444</v>
      </c>
      <c r="M1428" s="1"/>
      <c r="N1428" s="1" t="s">
        <v>449</v>
      </c>
      <c r="O1428" s="31">
        <v>5</v>
      </c>
      <c r="P1428" s="31">
        <v>2</v>
      </c>
      <c r="Q1428" s="32">
        <v>2005</v>
      </c>
    </row>
    <row r="1429" spans="1:17" x14ac:dyDescent="0.25">
      <c r="A1429" s="1" t="s">
        <v>445</v>
      </c>
      <c r="B1429" s="31">
        <v>42.2</v>
      </c>
      <c r="C1429" s="1" t="s">
        <v>20</v>
      </c>
      <c r="D1429" s="2">
        <v>42644</v>
      </c>
      <c r="E1429" s="2">
        <v>42644</v>
      </c>
      <c r="F1429" s="17">
        <v>650000</v>
      </c>
      <c r="G1429" s="17">
        <v>15402.84</v>
      </c>
      <c r="H1429" s="1"/>
      <c r="I1429" s="1" t="s">
        <v>21</v>
      </c>
      <c r="J1429" s="1" t="s">
        <v>32</v>
      </c>
      <c r="K1429" s="1" t="s">
        <v>446</v>
      </c>
      <c r="L1429" s="1" t="s">
        <v>444</v>
      </c>
      <c r="M1429" s="1"/>
      <c r="N1429" s="1" t="s">
        <v>449</v>
      </c>
      <c r="O1429" s="31">
        <v>5</v>
      </c>
      <c r="P1429" s="31">
        <v>2</v>
      </c>
      <c r="Q1429" s="32">
        <v>2005</v>
      </c>
    </row>
    <row r="1430" spans="1:17" x14ac:dyDescent="0.25">
      <c r="A1430" s="1" t="s">
        <v>448</v>
      </c>
      <c r="B1430" s="31">
        <v>48.9</v>
      </c>
      <c r="C1430" s="1" t="s">
        <v>20</v>
      </c>
      <c r="D1430" s="2">
        <v>42614</v>
      </c>
      <c r="E1430" s="2">
        <v>42644</v>
      </c>
      <c r="F1430" s="17">
        <v>800000</v>
      </c>
      <c r="G1430" s="17">
        <v>16359.92</v>
      </c>
      <c r="H1430" s="1"/>
      <c r="I1430" s="1" t="s">
        <v>21</v>
      </c>
      <c r="J1430" s="1" t="s">
        <v>22</v>
      </c>
      <c r="K1430" s="1" t="s">
        <v>446</v>
      </c>
      <c r="L1430" s="1" t="s">
        <v>444</v>
      </c>
      <c r="M1430" s="1"/>
      <c r="N1430" s="1"/>
      <c r="O1430" s="31">
        <v>2</v>
      </c>
      <c r="P1430" s="31">
        <v>1</v>
      </c>
      <c r="Q1430" s="32">
        <v>2016</v>
      </c>
    </row>
    <row r="1431" spans="1:17" x14ac:dyDescent="0.25">
      <c r="A1431" s="1" t="s">
        <v>445</v>
      </c>
      <c r="B1431" s="31">
        <v>44.8</v>
      </c>
      <c r="C1431" s="1" t="s">
        <v>20</v>
      </c>
      <c r="D1431" s="2">
        <v>42614</v>
      </c>
      <c r="E1431" s="2">
        <v>42644</v>
      </c>
      <c r="F1431" s="17">
        <v>850000</v>
      </c>
      <c r="G1431" s="17">
        <v>18973.21</v>
      </c>
      <c r="H1431" s="1"/>
      <c r="I1431" s="1" t="s">
        <v>21</v>
      </c>
      <c r="J1431" s="1" t="s">
        <v>32</v>
      </c>
      <c r="K1431" s="1" t="s">
        <v>446</v>
      </c>
      <c r="L1431" s="1" t="s">
        <v>444</v>
      </c>
      <c r="M1431" s="1"/>
      <c r="N1431" s="1" t="s">
        <v>90</v>
      </c>
      <c r="O1431" s="31">
        <v>5</v>
      </c>
      <c r="P1431" s="31">
        <v>1</v>
      </c>
      <c r="Q1431" s="32">
        <v>2001</v>
      </c>
    </row>
    <row r="1432" spans="1:17" x14ac:dyDescent="0.25">
      <c r="A1432" s="1" t="s">
        <v>452</v>
      </c>
      <c r="B1432" s="31">
        <v>49.9</v>
      </c>
      <c r="C1432" s="1" t="s">
        <v>20</v>
      </c>
      <c r="D1432" s="2">
        <v>42795</v>
      </c>
      <c r="E1432" s="2">
        <v>42795</v>
      </c>
      <c r="F1432" s="17">
        <v>1000000</v>
      </c>
      <c r="G1432" s="17">
        <v>20040.080000000002</v>
      </c>
      <c r="H1432" s="1"/>
      <c r="I1432" s="1" t="s">
        <v>21</v>
      </c>
      <c r="J1432" s="1" t="s">
        <v>32</v>
      </c>
      <c r="K1432" s="1" t="s">
        <v>446</v>
      </c>
      <c r="L1432" s="1" t="s">
        <v>444</v>
      </c>
      <c r="M1432" s="1"/>
      <c r="N1432" s="1" t="s">
        <v>128</v>
      </c>
      <c r="O1432" s="31">
        <v>3</v>
      </c>
      <c r="P1432" s="31">
        <v>2</v>
      </c>
      <c r="Q1432" s="32">
        <v>2002</v>
      </c>
    </row>
    <row r="1433" spans="1:17" x14ac:dyDescent="0.25">
      <c r="A1433" s="1" t="s">
        <v>452</v>
      </c>
      <c r="B1433" s="31">
        <v>49.9</v>
      </c>
      <c r="C1433" s="1" t="s">
        <v>20</v>
      </c>
      <c r="D1433" s="2">
        <v>42795</v>
      </c>
      <c r="E1433" s="2">
        <v>42795</v>
      </c>
      <c r="F1433" s="17">
        <v>1000000</v>
      </c>
      <c r="G1433" s="17">
        <v>20040.080000000002</v>
      </c>
      <c r="H1433" s="1"/>
      <c r="I1433" s="1" t="s">
        <v>21</v>
      </c>
      <c r="J1433" s="1" t="s">
        <v>32</v>
      </c>
      <c r="K1433" s="1" t="s">
        <v>446</v>
      </c>
      <c r="L1433" s="1" t="s">
        <v>444</v>
      </c>
      <c r="M1433" s="1"/>
      <c r="N1433" s="1" t="s">
        <v>128</v>
      </c>
      <c r="O1433" s="31">
        <v>3</v>
      </c>
      <c r="P1433" s="31">
        <v>2</v>
      </c>
      <c r="Q1433" s="32">
        <v>2002</v>
      </c>
    </row>
    <row r="1434" spans="1:17" x14ac:dyDescent="0.25">
      <c r="A1434" s="1" t="s">
        <v>445</v>
      </c>
      <c r="B1434" s="31">
        <v>51.1</v>
      </c>
      <c r="C1434" s="1" t="s">
        <v>20</v>
      </c>
      <c r="D1434" s="2">
        <v>42675</v>
      </c>
      <c r="E1434" s="2">
        <v>42705</v>
      </c>
      <c r="F1434" s="17">
        <v>1100000</v>
      </c>
      <c r="G1434" s="17">
        <v>21526.42</v>
      </c>
      <c r="H1434" s="1"/>
      <c r="I1434" s="1" t="s">
        <v>21</v>
      </c>
      <c r="J1434" s="1" t="s">
        <v>32</v>
      </c>
      <c r="K1434" s="1" t="s">
        <v>446</v>
      </c>
      <c r="L1434" s="1" t="s">
        <v>444</v>
      </c>
      <c r="M1434" s="1"/>
      <c r="N1434" s="1" t="s">
        <v>455</v>
      </c>
      <c r="O1434" s="31">
        <v>4</v>
      </c>
      <c r="P1434" s="31">
        <v>2</v>
      </c>
      <c r="Q1434" s="32">
        <v>2013</v>
      </c>
    </row>
    <row r="1435" spans="1:17" x14ac:dyDescent="0.25">
      <c r="A1435" s="1" t="s">
        <v>445</v>
      </c>
      <c r="B1435" s="31">
        <v>51.1</v>
      </c>
      <c r="C1435" s="1" t="s">
        <v>20</v>
      </c>
      <c r="D1435" s="2">
        <v>42675</v>
      </c>
      <c r="E1435" s="2">
        <v>42705</v>
      </c>
      <c r="F1435" s="17">
        <v>1100000</v>
      </c>
      <c r="G1435" s="17">
        <v>21526.42</v>
      </c>
      <c r="H1435" s="1"/>
      <c r="I1435" s="1" t="s">
        <v>21</v>
      </c>
      <c r="J1435" s="1" t="s">
        <v>32</v>
      </c>
      <c r="K1435" s="1" t="s">
        <v>446</v>
      </c>
      <c r="L1435" s="1" t="s">
        <v>444</v>
      </c>
      <c r="M1435" s="1"/>
      <c r="N1435" s="1" t="s">
        <v>455</v>
      </c>
      <c r="O1435" s="31">
        <v>4</v>
      </c>
      <c r="P1435" s="31">
        <v>2</v>
      </c>
      <c r="Q1435" s="32">
        <v>2013</v>
      </c>
    </row>
    <row r="1436" spans="1:17" x14ac:dyDescent="0.25">
      <c r="A1436" s="1" t="s">
        <v>447</v>
      </c>
      <c r="B1436" s="31">
        <v>53.1</v>
      </c>
      <c r="C1436" s="1" t="s">
        <v>20</v>
      </c>
      <c r="D1436" s="2">
        <v>42795</v>
      </c>
      <c r="E1436" s="2">
        <v>42795</v>
      </c>
      <c r="F1436" s="17">
        <v>1150000</v>
      </c>
      <c r="G1436" s="17">
        <v>21657.25</v>
      </c>
      <c r="H1436" s="1"/>
      <c r="I1436" s="1" t="s">
        <v>21</v>
      </c>
      <c r="J1436" s="1" t="s">
        <v>22</v>
      </c>
      <c r="K1436" s="1" t="s">
        <v>446</v>
      </c>
      <c r="L1436" s="1" t="s">
        <v>444</v>
      </c>
      <c r="M1436" s="1"/>
      <c r="N1436" s="1" t="s">
        <v>59</v>
      </c>
      <c r="O1436" s="31">
        <v>3</v>
      </c>
      <c r="P1436" s="31">
        <v>1</v>
      </c>
      <c r="Q1436" s="32">
        <v>2017</v>
      </c>
    </row>
    <row r="1437" spans="1:17" x14ac:dyDescent="0.25">
      <c r="A1437" s="1" t="s">
        <v>452</v>
      </c>
      <c r="B1437" s="31">
        <v>35.5</v>
      </c>
      <c r="C1437" s="1" t="s">
        <v>20</v>
      </c>
      <c r="D1437" s="2">
        <v>39630</v>
      </c>
      <c r="E1437" s="2">
        <v>42705</v>
      </c>
      <c r="F1437" s="17">
        <v>772200</v>
      </c>
      <c r="G1437" s="17">
        <v>21752.11</v>
      </c>
      <c r="H1437" s="1"/>
      <c r="I1437" s="1" t="s">
        <v>21</v>
      </c>
      <c r="J1437" s="1" t="s">
        <v>32</v>
      </c>
      <c r="K1437" s="1" t="s">
        <v>446</v>
      </c>
      <c r="L1437" s="1" t="s">
        <v>444</v>
      </c>
      <c r="M1437" s="1"/>
      <c r="N1437" s="1" t="s">
        <v>214</v>
      </c>
      <c r="O1437" s="31">
        <v>2</v>
      </c>
      <c r="P1437" s="31">
        <v>1</v>
      </c>
      <c r="Q1437" s="32">
        <v>2008</v>
      </c>
    </row>
    <row r="1438" spans="1:17" x14ac:dyDescent="0.25">
      <c r="A1438" s="1" t="s">
        <v>448</v>
      </c>
      <c r="B1438" s="31">
        <v>50</v>
      </c>
      <c r="C1438" s="1" t="s">
        <v>20</v>
      </c>
      <c r="D1438" s="2">
        <v>42644</v>
      </c>
      <c r="E1438" s="2">
        <v>42644</v>
      </c>
      <c r="F1438" s="17">
        <v>1100000</v>
      </c>
      <c r="G1438" s="17">
        <v>22000</v>
      </c>
      <c r="H1438" s="1"/>
      <c r="I1438" s="1" t="s">
        <v>21</v>
      </c>
      <c r="J1438" s="1" t="s">
        <v>22</v>
      </c>
      <c r="K1438" s="1" t="s">
        <v>446</v>
      </c>
      <c r="L1438" s="1" t="s">
        <v>444</v>
      </c>
      <c r="M1438" s="1"/>
      <c r="N1438" s="1" t="s">
        <v>59</v>
      </c>
      <c r="O1438" s="31">
        <v>1</v>
      </c>
      <c r="P1438" s="31">
        <v>1</v>
      </c>
      <c r="Q1438" s="32">
        <v>2016</v>
      </c>
    </row>
    <row r="1439" spans="1:17" x14ac:dyDescent="0.25">
      <c r="A1439" s="1" t="s">
        <v>445</v>
      </c>
      <c r="B1439" s="31">
        <v>27.2</v>
      </c>
      <c r="C1439" s="1" t="s">
        <v>20</v>
      </c>
      <c r="D1439" s="2">
        <v>42644</v>
      </c>
      <c r="E1439" s="2">
        <v>42644</v>
      </c>
      <c r="F1439" s="17">
        <v>609000</v>
      </c>
      <c r="G1439" s="17">
        <v>22389.71</v>
      </c>
      <c r="H1439" s="1"/>
      <c r="I1439" s="1" t="s">
        <v>21</v>
      </c>
      <c r="J1439" s="1" t="s">
        <v>32</v>
      </c>
      <c r="K1439" s="1" t="s">
        <v>446</v>
      </c>
      <c r="L1439" s="1" t="s">
        <v>444</v>
      </c>
      <c r="M1439" s="1"/>
      <c r="N1439" s="1"/>
      <c r="O1439" s="31">
        <v>1</v>
      </c>
      <c r="P1439" s="31">
        <v>1</v>
      </c>
      <c r="Q1439" s="32">
        <v>2007</v>
      </c>
    </row>
    <row r="1440" spans="1:17" x14ac:dyDescent="0.25">
      <c r="A1440" s="1" t="s">
        <v>452</v>
      </c>
      <c r="B1440" s="31">
        <v>70.099999999999994</v>
      </c>
      <c r="C1440" s="1" t="s">
        <v>20</v>
      </c>
      <c r="D1440" s="2">
        <v>42644</v>
      </c>
      <c r="E1440" s="2">
        <v>42675</v>
      </c>
      <c r="F1440" s="17">
        <v>1577000</v>
      </c>
      <c r="G1440" s="17">
        <v>22496.43</v>
      </c>
      <c r="H1440" s="1"/>
      <c r="I1440" s="1" t="s">
        <v>21</v>
      </c>
      <c r="J1440" s="1" t="s">
        <v>22</v>
      </c>
      <c r="K1440" s="1" t="s">
        <v>446</v>
      </c>
      <c r="L1440" s="1" t="s">
        <v>444</v>
      </c>
      <c r="M1440" s="1"/>
      <c r="N1440" s="1" t="s">
        <v>59</v>
      </c>
      <c r="O1440" s="31">
        <v>5</v>
      </c>
      <c r="P1440" s="31">
        <v>2</v>
      </c>
      <c r="Q1440" s="32">
        <v>2016</v>
      </c>
    </row>
    <row r="1441" spans="1:17" x14ac:dyDescent="0.25">
      <c r="A1441" s="1" t="s">
        <v>452</v>
      </c>
      <c r="B1441" s="31">
        <v>70.099999999999994</v>
      </c>
      <c r="C1441" s="1" t="s">
        <v>20</v>
      </c>
      <c r="D1441" s="2">
        <v>42644</v>
      </c>
      <c r="E1441" s="2">
        <v>42675</v>
      </c>
      <c r="F1441" s="17">
        <v>1577000</v>
      </c>
      <c r="G1441" s="17">
        <v>22496.43</v>
      </c>
      <c r="H1441" s="1"/>
      <c r="I1441" s="1" t="s">
        <v>21</v>
      </c>
      <c r="J1441" s="1" t="s">
        <v>22</v>
      </c>
      <c r="K1441" s="1" t="s">
        <v>446</v>
      </c>
      <c r="L1441" s="1" t="s">
        <v>444</v>
      </c>
      <c r="M1441" s="1"/>
      <c r="N1441" s="1" t="s">
        <v>59</v>
      </c>
      <c r="O1441" s="31">
        <v>5</v>
      </c>
      <c r="P1441" s="31">
        <v>2</v>
      </c>
      <c r="Q1441" s="32">
        <v>2016</v>
      </c>
    </row>
    <row r="1442" spans="1:17" x14ac:dyDescent="0.25">
      <c r="A1442" s="1" t="s">
        <v>450</v>
      </c>
      <c r="B1442" s="31">
        <v>34.799999999999997</v>
      </c>
      <c r="C1442" s="1" t="s">
        <v>20</v>
      </c>
      <c r="D1442" s="2">
        <v>42795</v>
      </c>
      <c r="E1442" s="2">
        <v>42795</v>
      </c>
      <c r="F1442" s="17">
        <v>796000</v>
      </c>
      <c r="G1442" s="17">
        <v>22873.56</v>
      </c>
      <c r="H1442" s="1"/>
      <c r="I1442" s="1" t="s">
        <v>21</v>
      </c>
      <c r="J1442" s="1" t="s">
        <v>32</v>
      </c>
      <c r="K1442" s="1" t="s">
        <v>446</v>
      </c>
      <c r="L1442" s="1" t="s">
        <v>444</v>
      </c>
      <c r="M1442" s="1"/>
      <c r="N1442" s="1" t="s">
        <v>451</v>
      </c>
      <c r="O1442" s="31">
        <v>2</v>
      </c>
      <c r="P1442" s="31">
        <v>1</v>
      </c>
      <c r="Q1442" s="32">
        <v>2012</v>
      </c>
    </row>
    <row r="1443" spans="1:17" x14ac:dyDescent="0.25">
      <c r="A1443" s="1" t="s">
        <v>464</v>
      </c>
      <c r="B1443" s="31">
        <v>21.1</v>
      </c>
      <c r="C1443" s="1" t="s">
        <v>20</v>
      </c>
      <c r="D1443" s="2">
        <v>42767</v>
      </c>
      <c r="E1443" s="2">
        <v>42795</v>
      </c>
      <c r="F1443" s="17">
        <v>483000</v>
      </c>
      <c r="G1443" s="17">
        <v>22891</v>
      </c>
      <c r="H1443" s="1"/>
      <c r="I1443" s="1" t="s">
        <v>21</v>
      </c>
      <c r="J1443" s="1" t="s">
        <v>22</v>
      </c>
      <c r="K1443" s="1" t="s">
        <v>446</v>
      </c>
      <c r="L1443" s="1" t="s">
        <v>444</v>
      </c>
      <c r="M1443" s="1"/>
      <c r="N1443" s="1"/>
      <c r="O1443" s="31">
        <v>2</v>
      </c>
      <c r="P1443" s="31">
        <v>1</v>
      </c>
      <c r="Q1443" s="32">
        <v>2017</v>
      </c>
    </row>
    <row r="1444" spans="1:17" x14ac:dyDescent="0.25">
      <c r="A1444" s="1" t="s">
        <v>445</v>
      </c>
      <c r="B1444" s="31">
        <v>58.1</v>
      </c>
      <c r="C1444" s="1" t="s">
        <v>20</v>
      </c>
      <c r="D1444" s="2">
        <v>42675</v>
      </c>
      <c r="E1444" s="2">
        <v>42705</v>
      </c>
      <c r="F1444" s="17">
        <v>1350000</v>
      </c>
      <c r="G1444" s="17">
        <v>23235.8</v>
      </c>
      <c r="H1444" s="1"/>
      <c r="I1444" s="1" t="s">
        <v>21</v>
      </c>
      <c r="J1444" s="1" t="s">
        <v>32</v>
      </c>
      <c r="K1444" s="1" t="s">
        <v>446</v>
      </c>
      <c r="L1444" s="1" t="s">
        <v>444</v>
      </c>
      <c r="M1444" s="1"/>
      <c r="N1444" s="1"/>
      <c r="O1444" s="31">
        <v>5</v>
      </c>
      <c r="P1444" s="31">
        <v>1</v>
      </c>
      <c r="Q1444" s="32">
        <v>2004</v>
      </c>
    </row>
    <row r="1445" spans="1:17" x14ac:dyDescent="0.25">
      <c r="A1445" s="1" t="s">
        <v>456</v>
      </c>
      <c r="B1445" s="31">
        <v>35.200000000000003</v>
      </c>
      <c r="C1445" s="1" t="s">
        <v>20</v>
      </c>
      <c r="D1445" s="2">
        <v>42705</v>
      </c>
      <c r="E1445" s="2">
        <v>42705</v>
      </c>
      <c r="F1445" s="17">
        <v>850000</v>
      </c>
      <c r="G1445" s="17">
        <v>24147.73</v>
      </c>
      <c r="H1445" s="1"/>
      <c r="I1445" s="1" t="s">
        <v>21</v>
      </c>
      <c r="J1445" s="1" t="s">
        <v>32</v>
      </c>
      <c r="K1445" s="1" t="s">
        <v>446</v>
      </c>
      <c r="L1445" s="1" t="s">
        <v>444</v>
      </c>
      <c r="M1445" s="1"/>
      <c r="N1445" s="1" t="s">
        <v>455</v>
      </c>
      <c r="O1445" s="31">
        <v>4</v>
      </c>
      <c r="P1445" s="31">
        <v>1</v>
      </c>
      <c r="Q1445" s="32">
        <v>2007</v>
      </c>
    </row>
    <row r="1446" spans="1:17" x14ac:dyDescent="0.25">
      <c r="A1446" s="1" t="s">
        <v>457</v>
      </c>
      <c r="B1446" s="31">
        <v>52.8</v>
      </c>
      <c r="C1446" s="1" t="s">
        <v>20</v>
      </c>
      <c r="D1446" s="2">
        <v>42705</v>
      </c>
      <c r="E1446" s="2">
        <v>42705</v>
      </c>
      <c r="F1446" s="17">
        <v>1287828</v>
      </c>
      <c r="G1446" s="17">
        <v>24390.68</v>
      </c>
      <c r="H1446" s="1"/>
      <c r="I1446" s="1" t="s">
        <v>21</v>
      </c>
      <c r="J1446" s="1" t="s">
        <v>32</v>
      </c>
      <c r="K1446" s="1" t="s">
        <v>446</v>
      </c>
      <c r="L1446" s="1" t="s">
        <v>444</v>
      </c>
      <c r="M1446" s="1"/>
      <c r="N1446" s="1" t="s">
        <v>41</v>
      </c>
      <c r="O1446" s="31">
        <v>2</v>
      </c>
      <c r="P1446" s="31">
        <v>1</v>
      </c>
      <c r="Q1446" s="32">
        <v>2001</v>
      </c>
    </row>
    <row r="1447" spans="1:17" x14ac:dyDescent="0.25">
      <c r="A1447" s="1" t="s">
        <v>460</v>
      </c>
      <c r="B1447" s="31">
        <v>40</v>
      </c>
      <c r="C1447" s="1" t="s">
        <v>20</v>
      </c>
      <c r="D1447" s="2">
        <v>42705</v>
      </c>
      <c r="E1447" s="2">
        <v>42705</v>
      </c>
      <c r="F1447" s="17">
        <v>990000</v>
      </c>
      <c r="G1447" s="17">
        <v>24750</v>
      </c>
      <c r="H1447" s="1"/>
      <c r="I1447" s="1" t="s">
        <v>21</v>
      </c>
      <c r="J1447" s="1" t="s">
        <v>32</v>
      </c>
      <c r="K1447" s="1" t="s">
        <v>446</v>
      </c>
      <c r="L1447" s="1" t="s">
        <v>444</v>
      </c>
      <c r="M1447" s="1"/>
      <c r="N1447" s="1" t="s">
        <v>461</v>
      </c>
      <c r="O1447" s="31">
        <v>3</v>
      </c>
      <c r="P1447" s="31">
        <v>1</v>
      </c>
      <c r="Q1447" s="32">
        <v>2014</v>
      </c>
    </row>
    <row r="1448" spans="1:17" x14ac:dyDescent="0.25">
      <c r="A1448" s="1" t="s">
        <v>450</v>
      </c>
      <c r="B1448" s="31">
        <v>34.799999999999997</v>
      </c>
      <c r="C1448" s="1" t="s">
        <v>20</v>
      </c>
      <c r="D1448" s="2">
        <v>42705</v>
      </c>
      <c r="E1448" s="2">
        <v>42705</v>
      </c>
      <c r="F1448" s="17">
        <v>900000</v>
      </c>
      <c r="G1448" s="17">
        <v>25862.07</v>
      </c>
      <c r="H1448" s="1"/>
      <c r="I1448" s="1" t="s">
        <v>21</v>
      </c>
      <c r="J1448" s="1" t="s">
        <v>32</v>
      </c>
      <c r="K1448" s="1" t="s">
        <v>446</v>
      </c>
      <c r="L1448" s="1" t="s">
        <v>444</v>
      </c>
      <c r="M1448" s="1"/>
      <c r="N1448" s="1" t="s">
        <v>451</v>
      </c>
      <c r="O1448" s="31">
        <v>5</v>
      </c>
      <c r="P1448" s="31">
        <v>1</v>
      </c>
      <c r="Q1448" s="32">
        <v>2012</v>
      </c>
    </row>
    <row r="1449" spans="1:17" x14ac:dyDescent="0.25">
      <c r="A1449" s="1" t="s">
        <v>445</v>
      </c>
      <c r="B1449" s="31">
        <v>46.2</v>
      </c>
      <c r="C1449" s="1" t="s">
        <v>20</v>
      </c>
      <c r="D1449" s="2">
        <v>42795</v>
      </c>
      <c r="E1449" s="2">
        <v>42795</v>
      </c>
      <c r="F1449" s="17">
        <v>1200000</v>
      </c>
      <c r="G1449" s="17">
        <v>25974.03</v>
      </c>
      <c r="H1449" s="1"/>
      <c r="I1449" s="1" t="s">
        <v>21</v>
      </c>
      <c r="J1449" s="1" t="s">
        <v>32</v>
      </c>
      <c r="K1449" s="1" t="s">
        <v>446</v>
      </c>
      <c r="L1449" s="1" t="s">
        <v>444</v>
      </c>
      <c r="M1449" s="1"/>
      <c r="N1449" s="1" t="s">
        <v>449</v>
      </c>
      <c r="O1449" s="31">
        <v>5</v>
      </c>
      <c r="P1449" s="31">
        <v>1</v>
      </c>
      <c r="Q1449" s="32">
        <v>2002</v>
      </c>
    </row>
    <row r="1450" spans="1:17" x14ac:dyDescent="0.25">
      <c r="A1450" s="1" t="s">
        <v>445</v>
      </c>
      <c r="B1450" s="31">
        <v>29.8</v>
      </c>
      <c r="C1450" s="1" t="s">
        <v>20</v>
      </c>
      <c r="D1450" s="2">
        <v>42614</v>
      </c>
      <c r="E1450" s="2">
        <v>42644</v>
      </c>
      <c r="F1450" s="17">
        <v>776000</v>
      </c>
      <c r="G1450" s="17">
        <v>26040.27</v>
      </c>
      <c r="H1450" s="1"/>
      <c r="I1450" s="1" t="s">
        <v>21</v>
      </c>
      <c r="J1450" s="1" t="s">
        <v>32</v>
      </c>
      <c r="K1450" s="1" t="s">
        <v>446</v>
      </c>
      <c r="L1450" s="1" t="s">
        <v>444</v>
      </c>
      <c r="M1450" s="1"/>
      <c r="N1450" s="1"/>
      <c r="O1450" s="31">
        <v>5</v>
      </c>
      <c r="P1450" s="31">
        <v>1</v>
      </c>
      <c r="Q1450" s="32">
        <v>2001</v>
      </c>
    </row>
    <row r="1451" spans="1:17" x14ac:dyDescent="0.25">
      <c r="A1451" s="1" t="s">
        <v>445</v>
      </c>
      <c r="B1451" s="31">
        <v>60.5</v>
      </c>
      <c r="C1451" s="1" t="s">
        <v>20</v>
      </c>
      <c r="D1451" s="2">
        <v>42705</v>
      </c>
      <c r="E1451" s="2">
        <v>42705</v>
      </c>
      <c r="F1451" s="17">
        <v>1600000</v>
      </c>
      <c r="G1451" s="17">
        <v>26446.28</v>
      </c>
      <c r="H1451" s="1"/>
      <c r="I1451" s="1" t="s">
        <v>21</v>
      </c>
      <c r="J1451" s="1" t="s">
        <v>32</v>
      </c>
      <c r="K1451" s="1" t="s">
        <v>446</v>
      </c>
      <c r="L1451" s="1" t="s">
        <v>444</v>
      </c>
      <c r="M1451" s="1"/>
      <c r="N1451" s="1" t="s">
        <v>449</v>
      </c>
      <c r="O1451" s="31">
        <v>2</v>
      </c>
      <c r="P1451" s="31">
        <v>2</v>
      </c>
      <c r="Q1451" s="32">
        <v>2005</v>
      </c>
    </row>
    <row r="1452" spans="1:17" x14ac:dyDescent="0.25">
      <c r="A1452" s="1" t="s">
        <v>445</v>
      </c>
      <c r="B1452" s="31">
        <v>60.5</v>
      </c>
      <c r="C1452" s="1" t="s">
        <v>20</v>
      </c>
      <c r="D1452" s="2">
        <v>42705</v>
      </c>
      <c r="E1452" s="2">
        <v>42705</v>
      </c>
      <c r="F1452" s="17">
        <v>1600000</v>
      </c>
      <c r="G1452" s="17">
        <v>26446.28</v>
      </c>
      <c r="H1452" s="1"/>
      <c r="I1452" s="1" t="s">
        <v>21</v>
      </c>
      <c r="J1452" s="1" t="s">
        <v>32</v>
      </c>
      <c r="K1452" s="1" t="s">
        <v>446</v>
      </c>
      <c r="L1452" s="1" t="s">
        <v>444</v>
      </c>
      <c r="M1452" s="1"/>
      <c r="N1452" s="1" t="s">
        <v>449</v>
      </c>
      <c r="O1452" s="31">
        <v>2</v>
      </c>
      <c r="P1452" s="31">
        <v>2</v>
      </c>
      <c r="Q1452" s="32">
        <v>2005</v>
      </c>
    </row>
    <row r="1453" spans="1:17" x14ac:dyDescent="0.25">
      <c r="A1453" s="1" t="s">
        <v>445</v>
      </c>
      <c r="B1453" s="31">
        <v>32.1</v>
      </c>
      <c r="C1453" s="1" t="s">
        <v>20</v>
      </c>
      <c r="D1453" s="2">
        <v>42614</v>
      </c>
      <c r="E1453" s="2">
        <v>42644</v>
      </c>
      <c r="F1453" s="17">
        <v>850000</v>
      </c>
      <c r="G1453" s="17">
        <v>26479.75</v>
      </c>
      <c r="H1453" s="1"/>
      <c r="I1453" s="1" t="s">
        <v>21</v>
      </c>
      <c r="J1453" s="1" t="s">
        <v>32</v>
      </c>
      <c r="K1453" s="1" t="s">
        <v>446</v>
      </c>
      <c r="L1453" s="1" t="s">
        <v>444</v>
      </c>
      <c r="M1453" s="1"/>
      <c r="N1453" s="1"/>
      <c r="O1453" s="31">
        <v>2</v>
      </c>
      <c r="P1453" s="31">
        <v>1</v>
      </c>
      <c r="Q1453" s="32">
        <v>2015</v>
      </c>
    </row>
    <row r="1454" spans="1:17" x14ac:dyDescent="0.25">
      <c r="A1454" s="1" t="s">
        <v>458</v>
      </c>
      <c r="B1454" s="31">
        <v>61.6</v>
      </c>
      <c r="C1454" s="1" t="s">
        <v>20</v>
      </c>
      <c r="D1454" s="2">
        <v>42705</v>
      </c>
      <c r="E1454" s="2">
        <v>42705</v>
      </c>
      <c r="F1454" s="17">
        <v>1648000</v>
      </c>
      <c r="G1454" s="17">
        <v>26753.25</v>
      </c>
      <c r="H1454" s="1"/>
      <c r="I1454" s="1" t="s">
        <v>21</v>
      </c>
      <c r="J1454" s="1" t="s">
        <v>32</v>
      </c>
      <c r="K1454" s="1" t="s">
        <v>446</v>
      </c>
      <c r="L1454" s="1" t="s">
        <v>444</v>
      </c>
      <c r="M1454" s="1"/>
      <c r="N1454" s="1" t="s">
        <v>455</v>
      </c>
      <c r="O1454" s="31">
        <v>2</v>
      </c>
      <c r="P1454" s="31">
        <v>2</v>
      </c>
      <c r="Q1454" s="32">
        <v>2006</v>
      </c>
    </row>
    <row r="1455" spans="1:17" x14ac:dyDescent="0.25">
      <c r="A1455" s="1" t="s">
        <v>458</v>
      </c>
      <c r="B1455" s="31">
        <v>61.6</v>
      </c>
      <c r="C1455" s="1" t="s">
        <v>20</v>
      </c>
      <c r="D1455" s="2">
        <v>42705</v>
      </c>
      <c r="E1455" s="2">
        <v>42705</v>
      </c>
      <c r="F1455" s="17">
        <v>1648000</v>
      </c>
      <c r="G1455" s="17">
        <v>26753.25</v>
      </c>
      <c r="H1455" s="1"/>
      <c r="I1455" s="1" t="s">
        <v>21</v>
      </c>
      <c r="J1455" s="1" t="s">
        <v>32</v>
      </c>
      <c r="K1455" s="1" t="s">
        <v>446</v>
      </c>
      <c r="L1455" s="1" t="s">
        <v>444</v>
      </c>
      <c r="M1455" s="1"/>
      <c r="N1455" s="1" t="s">
        <v>455</v>
      </c>
      <c r="O1455" s="31">
        <v>2</v>
      </c>
      <c r="P1455" s="31">
        <v>2</v>
      </c>
      <c r="Q1455" s="32">
        <v>2006</v>
      </c>
    </row>
    <row r="1456" spans="1:17" x14ac:dyDescent="0.25">
      <c r="A1456" s="1" t="s">
        <v>445</v>
      </c>
      <c r="B1456" s="31">
        <v>42.6</v>
      </c>
      <c r="C1456" s="1" t="s">
        <v>20</v>
      </c>
      <c r="D1456" s="2">
        <v>42705</v>
      </c>
      <c r="E1456" s="2">
        <v>42705</v>
      </c>
      <c r="F1456" s="17">
        <v>1160000</v>
      </c>
      <c r="G1456" s="17">
        <v>27230.05</v>
      </c>
      <c r="H1456" s="1"/>
      <c r="I1456" s="1" t="s">
        <v>21</v>
      </c>
      <c r="J1456" s="1" t="s">
        <v>32</v>
      </c>
      <c r="K1456" s="1" t="s">
        <v>446</v>
      </c>
      <c r="L1456" s="1" t="s">
        <v>444</v>
      </c>
      <c r="M1456" s="1"/>
      <c r="N1456" s="1"/>
      <c r="O1456" s="31">
        <v>2</v>
      </c>
      <c r="P1456" s="31">
        <v>2</v>
      </c>
      <c r="Q1456" s="32">
        <v>2006</v>
      </c>
    </row>
    <row r="1457" spans="1:17" x14ac:dyDescent="0.25">
      <c r="A1457" s="1" t="s">
        <v>445</v>
      </c>
      <c r="B1457" s="31">
        <v>42.6</v>
      </c>
      <c r="C1457" s="1" t="s">
        <v>20</v>
      </c>
      <c r="D1457" s="2">
        <v>42705</v>
      </c>
      <c r="E1457" s="2">
        <v>42705</v>
      </c>
      <c r="F1457" s="17">
        <v>1160000</v>
      </c>
      <c r="G1457" s="17">
        <v>27230.05</v>
      </c>
      <c r="H1457" s="1"/>
      <c r="I1457" s="1" t="s">
        <v>21</v>
      </c>
      <c r="J1457" s="1" t="s">
        <v>32</v>
      </c>
      <c r="K1457" s="1" t="s">
        <v>446</v>
      </c>
      <c r="L1457" s="1" t="s">
        <v>444</v>
      </c>
      <c r="M1457" s="1"/>
      <c r="N1457" s="1"/>
      <c r="O1457" s="31">
        <v>2</v>
      </c>
      <c r="P1457" s="31">
        <v>2</v>
      </c>
      <c r="Q1457" s="32">
        <v>2006</v>
      </c>
    </row>
    <row r="1458" spans="1:17" x14ac:dyDescent="0.25">
      <c r="A1458" s="1" t="s">
        <v>452</v>
      </c>
      <c r="B1458" s="31">
        <v>51.2</v>
      </c>
      <c r="C1458" s="1" t="s">
        <v>20</v>
      </c>
      <c r="D1458" s="2">
        <v>42675</v>
      </c>
      <c r="E1458" s="2">
        <v>42675</v>
      </c>
      <c r="F1458" s="17">
        <v>1400000</v>
      </c>
      <c r="G1458" s="17">
        <v>27343.75</v>
      </c>
      <c r="H1458" s="1"/>
      <c r="I1458" s="1" t="s">
        <v>21</v>
      </c>
      <c r="J1458" s="1" t="s">
        <v>32</v>
      </c>
      <c r="K1458" s="1" t="s">
        <v>446</v>
      </c>
      <c r="L1458" s="1" t="s">
        <v>444</v>
      </c>
      <c r="M1458" s="1"/>
      <c r="N1458" s="1" t="s">
        <v>59</v>
      </c>
      <c r="O1458" s="31">
        <v>4</v>
      </c>
      <c r="P1458" s="31">
        <v>1</v>
      </c>
      <c r="Q1458" s="32">
        <v>2015</v>
      </c>
    </row>
    <row r="1459" spans="1:17" x14ac:dyDescent="0.25">
      <c r="A1459" s="1" t="s">
        <v>445</v>
      </c>
      <c r="B1459" s="31">
        <v>44.2</v>
      </c>
      <c r="C1459" s="1" t="s">
        <v>20</v>
      </c>
      <c r="D1459" s="2">
        <v>42736</v>
      </c>
      <c r="E1459" s="2">
        <v>42736</v>
      </c>
      <c r="F1459" s="17">
        <v>1220000</v>
      </c>
      <c r="G1459" s="17">
        <v>27601.81</v>
      </c>
      <c r="H1459" s="1"/>
      <c r="I1459" s="1" t="s">
        <v>21</v>
      </c>
      <c r="J1459" s="1" t="s">
        <v>22</v>
      </c>
      <c r="K1459" s="1" t="s">
        <v>446</v>
      </c>
      <c r="L1459" s="1" t="s">
        <v>444</v>
      </c>
      <c r="M1459" s="1"/>
      <c r="N1459" s="1" t="s">
        <v>449</v>
      </c>
      <c r="O1459" s="31">
        <v>3</v>
      </c>
      <c r="P1459" s="31">
        <v>2</v>
      </c>
      <c r="Q1459" s="32">
        <v>2016</v>
      </c>
    </row>
    <row r="1460" spans="1:17" x14ac:dyDescent="0.25">
      <c r="A1460" s="1" t="s">
        <v>445</v>
      </c>
      <c r="B1460" s="31">
        <v>44.2</v>
      </c>
      <c r="C1460" s="1" t="s">
        <v>20</v>
      </c>
      <c r="D1460" s="2">
        <v>42736</v>
      </c>
      <c r="E1460" s="2">
        <v>42736</v>
      </c>
      <c r="F1460" s="17">
        <v>1220000</v>
      </c>
      <c r="G1460" s="17">
        <v>27601.81</v>
      </c>
      <c r="H1460" s="1"/>
      <c r="I1460" s="1" t="s">
        <v>21</v>
      </c>
      <c r="J1460" s="1" t="s">
        <v>22</v>
      </c>
      <c r="K1460" s="1" t="s">
        <v>446</v>
      </c>
      <c r="L1460" s="1" t="s">
        <v>444</v>
      </c>
      <c r="M1460" s="1"/>
      <c r="N1460" s="1" t="s">
        <v>449</v>
      </c>
      <c r="O1460" s="31">
        <v>3</v>
      </c>
      <c r="P1460" s="31">
        <v>2</v>
      </c>
      <c r="Q1460" s="32">
        <v>2016</v>
      </c>
    </row>
    <row r="1461" spans="1:17" x14ac:dyDescent="0.25">
      <c r="A1461" s="1" t="s">
        <v>453</v>
      </c>
      <c r="B1461" s="31">
        <v>46.5</v>
      </c>
      <c r="C1461" s="1" t="s">
        <v>20</v>
      </c>
      <c r="D1461" s="2">
        <v>42705</v>
      </c>
      <c r="E1461" s="2">
        <v>42705</v>
      </c>
      <c r="F1461" s="17">
        <v>1287828</v>
      </c>
      <c r="G1461" s="17">
        <v>27695.23</v>
      </c>
      <c r="H1461" s="1"/>
      <c r="I1461" s="1" t="s">
        <v>21</v>
      </c>
      <c r="J1461" s="1" t="s">
        <v>32</v>
      </c>
      <c r="K1461" s="1" t="s">
        <v>446</v>
      </c>
      <c r="L1461" s="1" t="s">
        <v>444</v>
      </c>
      <c r="M1461" s="1"/>
      <c r="N1461" s="1" t="s">
        <v>454</v>
      </c>
      <c r="O1461" s="31">
        <v>3</v>
      </c>
      <c r="P1461" s="31">
        <v>1</v>
      </c>
      <c r="Q1461" s="32">
        <v>2013</v>
      </c>
    </row>
    <row r="1462" spans="1:17" x14ac:dyDescent="0.25">
      <c r="A1462" s="1" t="s">
        <v>463</v>
      </c>
      <c r="B1462" s="31">
        <v>53.4</v>
      </c>
      <c r="C1462" s="1" t="s">
        <v>20</v>
      </c>
      <c r="D1462" s="2">
        <v>42767</v>
      </c>
      <c r="E1462" s="2">
        <v>42767</v>
      </c>
      <c r="F1462" s="17">
        <v>1500000</v>
      </c>
      <c r="G1462" s="17">
        <v>28089.89</v>
      </c>
      <c r="H1462" s="1"/>
      <c r="I1462" s="1" t="s">
        <v>21</v>
      </c>
      <c r="J1462" s="1" t="s">
        <v>32</v>
      </c>
      <c r="K1462" s="1" t="s">
        <v>446</v>
      </c>
      <c r="L1462" s="1" t="s">
        <v>444</v>
      </c>
      <c r="M1462" s="1"/>
      <c r="N1462" s="1" t="s">
        <v>75</v>
      </c>
      <c r="O1462" s="31">
        <v>2</v>
      </c>
      <c r="P1462" s="31">
        <v>2</v>
      </c>
      <c r="Q1462" s="32">
        <v>2003</v>
      </c>
    </row>
    <row r="1463" spans="1:17" x14ac:dyDescent="0.25">
      <c r="A1463" s="1" t="s">
        <v>463</v>
      </c>
      <c r="B1463" s="31">
        <v>53.4</v>
      </c>
      <c r="C1463" s="1" t="s">
        <v>20</v>
      </c>
      <c r="D1463" s="2">
        <v>42767</v>
      </c>
      <c r="E1463" s="2">
        <v>42767</v>
      </c>
      <c r="F1463" s="17">
        <v>1500000</v>
      </c>
      <c r="G1463" s="17">
        <v>28089.89</v>
      </c>
      <c r="H1463" s="1"/>
      <c r="I1463" s="1" t="s">
        <v>21</v>
      </c>
      <c r="J1463" s="1" t="s">
        <v>32</v>
      </c>
      <c r="K1463" s="1" t="s">
        <v>446</v>
      </c>
      <c r="L1463" s="1" t="s">
        <v>444</v>
      </c>
      <c r="M1463" s="1"/>
      <c r="N1463" s="1" t="s">
        <v>75</v>
      </c>
      <c r="O1463" s="31">
        <v>2</v>
      </c>
      <c r="P1463" s="31">
        <v>2</v>
      </c>
      <c r="Q1463" s="32">
        <v>2003</v>
      </c>
    </row>
    <row r="1464" spans="1:17" x14ac:dyDescent="0.25">
      <c r="A1464" s="1" t="s">
        <v>450</v>
      </c>
      <c r="B1464" s="31">
        <v>37.6</v>
      </c>
      <c r="C1464" s="1" t="s">
        <v>20</v>
      </c>
      <c r="D1464" s="2">
        <v>42644</v>
      </c>
      <c r="E1464" s="2">
        <v>42644</v>
      </c>
      <c r="F1464" s="17">
        <v>1060000</v>
      </c>
      <c r="G1464" s="17">
        <v>28191.49</v>
      </c>
      <c r="H1464" s="1"/>
      <c r="I1464" s="1" t="s">
        <v>21</v>
      </c>
      <c r="J1464" s="1" t="s">
        <v>32</v>
      </c>
      <c r="K1464" s="1" t="s">
        <v>446</v>
      </c>
      <c r="L1464" s="1" t="s">
        <v>444</v>
      </c>
      <c r="M1464" s="1"/>
      <c r="N1464" s="1" t="s">
        <v>451</v>
      </c>
      <c r="O1464" s="31">
        <v>6</v>
      </c>
      <c r="P1464" s="31">
        <v>2</v>
      </c>
      <c r="Q1464" s="32">
        <v>2009</v>
      </c>
    </row>
    <row r="1465" spans="1:17" x14ac:dyDescent="0.25">
      <c r="A1465" s="1" t="s">
        <v>450</v>
      </c>
      <c r="B1465" s="31">
        <v>37.6</v>
      </c>
      <c r="C1465" s="1" t="s">
        <v>20</v>
      </c>
      <c r="D1465" s="2">
        <v>42644</v>
      </c>
      <c r="E1465" s="2">
        <v>42644</v>
      </c>
      <c r="F1465" s="17">
        <v>1060000</v>
      </c>
      <c r="G1465" s="17">
        <v>28191.49</v>
      </c>
      <c r="H1465" s="1"/>
      <c r="I1465" s="1" t="s">
        <v>21</v>
      </c>
      <c r="J1465" s="1" t="s">
        <v>32</v>
      </c>
      <c r="K1465" s="1" t="s">
        <v>446</v>
      </c>
      <c r="L1465" s="1" t="s">
        <v>444</v>
      </c>
      <c r="M1465" s="1"/>
      <c r="N1465" s="1" t="s">
        <v>451</v>
      </c>
      <c r="O1465" s="31">
        <v>6</v>
      </c>
      <c r="P1465" s="31">
        <v>2</v>
      </c>
      <c r="Q1465" s="32">
        <v>2009</v>
      </c>
    </row>
    <row r="1466" spans="1:17" x14ac:dyDescent="0.25">
      <c r="A1466" s="1" t="s">
        <v>447</v>
      </c>
      <c r="B1466" s="31">
        <v>52.9</v>
      </c>
      <c r="C1466" s="1" t="s">
        <v>20</v>
      </c>
      <c r="D1466" s="2">
        <v>42767</v>
      </c>
      <c r="E1466" s="2">
        <v>42767</v>
      </c>
      <c r="F1466" s="17">
        <v>1510509</v>
      </c>
      <c r="G1466" s="17">
        <v>28554.05</v>
      </c>
      <c r="H1466" s="1"/>
      <c r="I1466" s="1" t="s">
        <v>21</v>
      </c>
      <c r="J1466" s="1" t="s">
        <v>22</v>
      </c>
      <c r="K1466" s="1" t="s">
        <v>446</v>
      </c>
      <c r="L1466" s="1" t="s">
        <v>444</v>
      </c>
      <c r="M1466" s="1"/>
      <c r="N1466" s="1" t="s">
        <v>59</v>
      </c>
      <c r="O1466" s="31">
        <v>2</v>
      </c>
      <c r="P1466" s="31">
        <v>1</v>
      </c>
      <c r="Q1466" s="32">
        <v>2017</v>
      </c>
    </row>
    <row r="1467" spans="1:17" x14ac:dyDescent="0.25">
      <c r="A1467" s="1" t="s">
        <v>452</v>
      </c>
      <c r="B1467" s="31">
        <v>32.4</v>
      </c>
      <c r="C1467" s="1" t="s">
        <v>20</v>
      </c>
      <c r="D1467" s="2">
        <v>42675</v>
      </c>
      <c r="E1467" s="2">
        <v>42675</v>
      </c>
      <c r="F1467" s="17">
        <v>960000</v>
      </c>
      <c r="G1467" s="17">
        <v>29629.63</v>
      </c>
      <c r="H1467" s="1"/>
      <c r="I1467" s="1" t="s">
        <v>21</v>
      </c>
      <c r="J1467" s="1" t="s">
        <v>32</v>
      </c>
      <c r="K1467" s="1" t="s">
        <v>446</v>
      </c>
      <c r="L1467" s="1" t="s">
        <v>444</v>
      </c>
      <c r="M1467" s="1"/>
      <c r="N1467" s="1" t="s">
        <v>214</v>
      </c>
      <c r="O1467" s="31">
        <v>1</v>
      </c>
      <c r="P1467" s="31">
        <v>1</v>
      </c>
      <c r="Q1467" s="32">
        <v>2002</v>
      </c>
    </row>
    <row r="1468" spans="1:17" x14ac:dyDescent="0.25">
      <c r="A1468" s="1" t="s">
        <v>445</v>
      </c>
      <c r="B1468" s="31">
        <v>46.6</v>
      </c>
      <c r="C1468" s="1" t="s">
        <v>20</v>
      </c>
      <c r="D1468" s="2">
        <v>42767</v>
      </c>
      <c r="E1468" s="2">
        <v>42767</v>
      </c>
      <c r="F1468" s="17">
        <v>1400000</v>
      </c>
      <c r="G1468" s="17">
        <v>30042.92</v>
      </c>
      <c r="H1468" s="1"/>
      <c r="I1468" s="1" t="s">
        <v>21</v>
      </c>
      <c r="J1468" s="1" t="s">
        <v>22</v>
      </c>
      <c r="K1468" s="1" t="s">
        <v>446</v>
      </c>
      <c r="L1468" s="1" t="s">
        <v>444</v>
      </c>
      <c r="M1468" s="1"/>
      <c r="N1468" s="1"/>
      <c r="O1468" s="31">
        <v>3</v>
      </c>
      <c r="P1468" s="31">
        <v>2</v>
      </c>
      <c r="Q1468" s="32">
        <v>2016</v>
      </c>
    </row>
    <row r="1469" spans="1:17" x14ac:dyDescent="0.25">
      <c r="A1469" s="1" t="s">
        <v>445</v>
      </c>
      <c r="B1469" s="31">
        <v>46.6</v>
      </c>
      <c r="C1469" s="1" t="s">
        <v>20</v>
      </c>
      <c r="D1469" s="2">
        <v>42767</v>
      </c>
      <c r="E1469" s="2">
        <v>42767</v>
      </c>
      <c r="F1469" s="17">
        <v>1400000</v>
      </c>
      <c r="G1469" s="17">
        <v>30042.92</v>
      </c>
      <c r="H1469" s="1"/>
      <c r="I1469" s="1" t="s">
        <v>21</v>
      </c>
      <c r="J1469" s="1" t="s">
        <v>22</v>
      </c>
      <c r="K1469" s="1" t="s">
        <v>446</v>
      </c>
      <c r="L1469" s="1" t="s">
        <v>444</v>
      </c>
      <c r="M1469" s="1"/>
      <c r="N1469" s="1"/>
      <c r="O1469" s="31">
        <v>3</v>
      </c>
      <c r="P1469" s="31">
        <v>2</v>
      </c>
      <c r="Q1469" s="32">
        <v>2016</v>
      </c>
    </row>
    <row r="1470" spans="1:17" x14ac:dyDescent="0.25">
      <c r="A1470" s="1" t="s">
        <v>445</v>
      </c>
      <c r="B1470" s="31">
        <v>8.3000000000000007</v>
      </c>
      <c r="C1470" s="1" t="s">
        <v>20</v>
      </c>
      <c r="D1470" s="2">
        <v>42644</v>
      </c>
      <c r="E1470" s="2">
        <v>42644</v>
      </c>
      <c r="F1470" s="17">
        <v>454000</v>
      </c>
      <c r="G1470" s="17">
        <v>54698.8</v>
      </c>
      <c r="H1470" s="1"/>
      <c r="I1470" s="1" t="s">
        <v>21</v>
      </c>
      <c r="J1470" s="1" t="s">
        <v>32</v>
      </c>
      <c r="K1470" s="1" t="s">
        <v>446</v>
      </c>
      <c r="L1470" s="1" t="s">
        <v>444</v>
      </c>
      <c r="M1470" s="1"/>
      <c r="N1470" s="1"/>
      <c r="O1470" s="31">
        <v>1</v>
      </c>
      <c r="P1470" s="31">
        <v>1</v>
      </c>
      <c r="Q1470" s="32">
        <v>2008</v>
      </c>
    </row>
    <row r="1471" spans="1:17" s="9" customFormat="1" ht="15.75" thickBot="1" x14ac:dyDescent="0.3">
      <c r="A1471" s="28"/>
      <c r="B1471" s="37"/>
      <c r="C1471" s="28"/>
      <c r="D1471" s="28"/>
      <c r="E1471" s="28"/>
      <c r="F1471" s="30"/>
      <c r="G1471" s="30">
        <f>SUM(G1421:G1470)/50</f>
        <v>23482.6558</v>
      </c>
      <c r="H1471" s="28"/>
      <c r="I1471" s="28"/>
      <c r="J1471" s="28"/>
      <c r="K1471" s="28"/>
      <c r="L1471" s="28"/>
      <c r="M1471" s="28"/>
      <c r="N1471" s="28"/>
      <c r="O1471" s="37"/>
      <c r="P1471" s="37"/>
      <c r="Q1471" s="38"/>
    </row>
  </sheetData>
  <autoFilter ref="A3:Q1471"/>
  <mergeCells count="1">
    <mergeCell ref="A1:Q1"/>
  </mergeCells>
  <pageMargins left="0.70866141732283472" right="0.70866141732283472" top="0.74803149606299213" bottom="0.74803149606299213" header="0.31496062992125984" footer="0.31496062992125984"/>
  <pageSetup paperSize="9" scale="54" fitToHeight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3"/>
  <sheetViews>
    <sheetView workbookViewId="0">
      <selection activeCell="C5" sqref="C5"/>
    </sheetView>
  </sheetViews>
  <sheetFormatPr defaultRowHeight="15" outlineLevelCol="1" x14ac:dyDescent="0.25"/>
  <cols>
    <col min="1" max="1" width="15" customWidth="1" outlineLevel="1"/>
    <col min="2" max="2" width="15" customWidth="1"/>
    <col min="3" max="3" width="24.140625" customWidth="1" outlineLevel="1"/>
    <col min="4" max="4" width="13.42578125" customWidth="1"/>
    <col min="5" max="5" width="17.140625" customWidth="1" outlineLevel="1"/>
    <col min="6" max="6" width="16.42578125" customWidth="1"/>
    <col min="7" max="7" width="14" customWidth="1"/>
    <col min="8" max="8" width="9.140625" style="45" customWidth="1" outlineLevel="1"/>
    <col min="9" max="9" width="15.7109375" customWidth="1" outlineLevel="1" collapsed="1"/>
    <col min="10" max="10" width="16" customWidth="1" outlineLevel="1" collapsed="1"/>
    <col min="11" max="11" width="19.140625" customWidth="1"/>
    <col min="12" max="12" width="17.28515625" customWidth="1"/>
    <col min="13" max="13" width="18.140625" customWidth="1" outlineLevel="1"/>
    <col min="14" max="14" width="9.140625" customWidth="1" outlineLevel="1"/>
    <col min="15" max="15" width="11.7109375" customWidth="1" outlineLevel="1"/>
    <col min="16" max="16" width="9.140625" customWidth="1" outlineLevel="1"/>
  </cols>
  <sheetData>
    <row r="1" spans="1:16" ht="18.75" x14ac:dyDescent="0.3">
      <c r="A1" s="264" t="s">
        <v>468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</row>
    <row r="2" spans="1:16" ht="15.75" thickBot="1" x14ac:dyDescent="0.3"/>
    <row r="3" spans="1:16" s="10" customFormat="1" ht="93.75" customHeight="1" thickBot="1" x14ac:dyDescent="0.3">
      <c r="A3" s="14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471</v>
      </c>
      <c r="I3" s="15" t="s">
        <v>8</v>
      </c>
      <c r="J3" s="15" t="s">
        <v>9</v>
      </c>
      <c r="K3" s="15" t="s">
        <v>10</v>
      </c>
      <c r="L3" s="15" t="s">
        <v>465</v>
      </c>
      <c r="M3" s="15" t="s">
        <v>13</v>
      </c>
      <c r="N3" s="15" t="s">
        <v>14</v>
      </c>
      <c r="O3" s="15" t="s">
        <v>15</v>
      </c>
      <c r="P3" s="16" t="s">
        <v>16</v>
      </c>
    </row>
    <row r="4" spans="1:16" x14ac:dyDescent="0.25">
      <c r="A4" s="1" t="s">
        <v>28</v>
      </c>
      <c r="B4" s="31">
        <v>46.6</v>
      </c>
      <c r="C4" s="1" t="s">
        <v>20</v>
      </c>
      <c r="D4" s="2">
        <v>42644</v>
      </c>
      <c r="E4" s="2">
        <v>42644</v>
      </c>
      <c r="F4" s="17">
        <v>1784000</v>
      </c>
      <c r="G4" s="17">
        <v>38283.26</v>
      </c>
      <c r="H4" s="31">
        <v>1</v>
      </c>
      <c r="I4" s="1" t="s">
        <v>21</v>
      </c>
      <c r="J4" s="1" t="s">
        <v>22</v>
      </c>
      <c r="K4" s="1" t="s">
        <v>23</v>
      </c>
      <c r="L4" s="1" t="s">
        <v>17</v>
      </c>
      <c r="M4" s="1" t="s">
        <v>29</v>
      </c>
      <c r="N4" s="31">
        <v>3</v>
      </c>
      <c r="O4" s="31">
        <v>2</v>
      </c>
      <c r="P4" s="32">
        <v>2014</v>
      </c>
    </row>
    <row r="5" spans="1:16" x14ac:dyDescent="0.25">
      <c r="A5" s="1" t="s">
        <v>28</v>
      </c>
      <c r="B5" s="31">
        <v>46.6</v>
      </c>
      <c r="C5" s="1" t="s">
        <v>20</v>
      </c>
      <c r="D5" s="2">
        <v>42644</v>
      </c>
      <c r="E5" s="2">
        <v>42644</v>
      </c>
      <c r="F5" s="17">
        <v>1784000</v>
      </c>
      <c r="G5" s="17">
        <v>38283.26</v>
      </c>
      <c r="H5" s="31">
        <v>1</v>
      </c>
      <c r="I5" s="1" t="s">
        <v>21</v>
      </c>
      <c r="J5" s="1" t="s">
        <v>22</v>
      </c>
      <c r="K5" s="1" t="s">
        <v>23</v>
      </c>
      <c r="L5" s="1" t="s">
        <v>17</v>
      </c>
      <c r="M5" s="1" t="s">
        <v>29</v>
      </c>
      <c r="N5" s="31">
        <v>3</v>
      </c>
      <c r="O5" s="31">
        <v>2</v>
      </c>
      <c r="P5" s="32">
        <v>2014</v>
      </c>
    </row>
    <row r="6" spans="1:16" x14ac:dyDescent="0.25">
      <c r="A6" s="1" t="s">
        <v>30</v>
      </c>
      <c r="B6" s="31">
        <v>30.2</v>
      </c>
      <c r="C6" s="1" t="s">
        <v>20</v>
      </c>
      <c r="D6" s="2">
        <v>42795</v>
      </c>
      <c r="E6" s="2">
        <v>42795</v>
      </c>
      <c r="F6" s="17">
        <v>1190000</v>
      </c>
      <c r="G6" s="17">
        <v>39403.97</v>
      </c>
      <c r="H6" s="31">
        <v>1</v>
      </c>
      <c r="I6" s="1" t="s">
        <v>21</v>
      </c>
      <c r="J6" s="1" t="s">
        <v>22</v>
      </c>
      <c r="K6" s="1" t="s">
        <v>23</v>
      </c>
      <c r="L6" s="1" t="s">
        <v>17</v>
      </c>
      <c r="M6" s="1" t="s">
        <v>27</v>
      </c>
      <c r="N6" s="31">
        <v>2</v>
      </c>
      <c r="O6" s="31">
        <v>1</v>
      </c>
      <c r="P6" s="32">
        <v>2015</v>
      </c>
    </row>
    <row r="7" spans="1:16" x14ac:dyDescent="0.25">
      <c r="A7" s="1" t="s">
        <v>19</v>
      </c>
      <c r="B7" s="31">
        <v>51.5</v>
      </c>
      <c r="C7" s="1" t="s">
        <v>20</v>
      </c>
      <c r="D7" s="2">
        <v>42767</v>
      </c>
      <c r="E7" s="2">
        <v>42767</v>
      </c>
      <c r="F7" s="17">
        <v>2050000</v>
      </c>
      <c r="G7" s="17">
        <v>39805.83</v>
      </c>
      <c r="H7" s="31">
        <v>1</v>
      </c>
      <c r="I7" s="1" t="s">
        <v>21</v>
      </c>
      <c r="J7" s="1" t="s">
        <v>22</v>
      </c>
      <c r="K7" s="1" t="s">
        <v>23</v>
      </c>
      <c r="L7" s="1" t="s">
        <v>17</v>
      </c>
      <c r="M7" s="1" t="s">
        <v>24</v>
      </c>
      <c r="N7" s="31">
        <v>1</v>
      </c>
      <c r="O7" s="31">
        <v>1</v>
      </c>
      <c r="P7" s="32">
        <v>2007</v>
      </c>
    </row>
    <row r="8" spans="1:16" x14ac:dyDescent="0.25">
      <c r="A8" s="1" t="s">
        <v>19</v>
      </c>
      <c r="B8" s="31">
        <v>61.8</v>
      </c>
      <c r="C8" s="1" t="s">
        <v>20</v>
      </c>
      <c r="D8" s="2">
        <v>42644</v>
      </c>
      <c r="E8" s="2">
        <v>42644</v>
      </c>
      <c r="F8" s="17">
        <v>2522000</v>
      </c>
      <c r="G8" s="17">
        <v>40809.06</v>
      </c>
      <c r="H8" s="31">
        <v>1</v>
      </c>
      <c r="I8" s="1" t="s">
        <v>21</v>
      </c>
      <c r="J8" s="1" t="s">
        <v>22</v>
      </c>
      <c r="K8" s="1" t="s">
        <v>23</v>
      </c>
      <c r="L8" s="1" t="s">
        <v>17</v>
      </c>
      <c r="M8" s="1" t="s">
        <v>27</v>
      </c>
      <c r="N8" s="31">
        <v>3</v>
      </c>
      <c r="O8" s="31">
        <v>2</v>
      </c>
      <c r="P8" s="32">
        <v>2008</v>
      </c>
    </row>
    <row r="9" spans="1:16" x14ac:dyDescent="0.25">
      <c r="A9" s="1" t="s">
        <v>19</v>
      </c>
      <c r="B9" s="31">
        <v>61.8</v>
      </c>
      <c r="C9" s="1" t="s">
        <v>20</v>
      </c>
      <c r="D9" s="2">
        <v>42644</v>
      </c>
      <c r="E9" s="2">
        <v>42644</v>
      </c>
      <c r="F9" s="17">
        <v>2522000</v>
      </c>
      <c r="G9" s="17">
        <v>40809.06</v>
      </c>
      <c r="H9" s="31">
        <v>1</v>
      </c>
      <c r="I9" s="1" t="s">
        <v>21</v>
      </c>
      <c r="J9" s="1" t="s">
        <v>22</v>
      </c>
      <c r="K9" s="1" t="s">
        <v>23</v>
      </c>
      <c r="L9" s="1" t="s">
        <v>17</v>
      </c>
      <c r="M9" s="1" t="s">
        <v>27</v>
      </c>
      <c r="N9" s="31">
        <v>3</v>
      </c>
      <c r="O9" s="31">
        <v>2</v>
      </c>
      <c r="P9" s="32">
        <v>2008</v>
      </c>
    </row>
    <row r="10" spans="1:16" x14ac:dyDescent="0.25">
      <c r="A10" s="1" t="s">
        <v>19</v>
      </c>
      <c r="B10" s="31">
        <v>30</v>
      </c>
      <c r="C10" s="1" t="s">
        <v>20</v>
      </c>
      <c r="D10" s="2">
        <v>42644</v>
      </c>
      <c r="E10" s="2">
        <v>42644</v>
      </c>
      <c r="F10" s="17">
        <v>1250000</v>
      </c>
      <c r="G10" s="17">
        <v>41666.67</v>
      </c>
      <c r="H10" s="31">
        <v>1</v>
      </c>
      <c r="I10" s="1" t="s">
        <v>21</v>
      </c>
      <c r="J10" s="1" t="s">
        <v>22</v>
      </c>
      <c r="K10" s="1" t="s">
        <v>23</v>
      </c>
      <c r="L10" s="1" t="s">
        <v>17</v>
      </c>
      <c r="M10" s="1" t="s">
        <v>24</v>
      </c>
      <c r="N10" s="31">
        <v>3</v>
      </c>
      <c r="O10" s="31">
        <v>2</v>
      </c>
      <c r="P10" s="32">
        <v>2000</v>
      </c>
    </row>
    <row r="11" spans="1:16" x14ac:dyDescent="0.25">
      <c r="A11" s="1" t="s">
        <v>19</v>
      </c>
      <c r="B11" s="31">
        <v>30</v>
      </c>
      <c r="C11" s="1" t="s">
        <v>20</v>
      </c>
      <c r="D11" s="2">
        <v>42644</v>
      </c>
      <c r="E11" s="2">
        <v>42644</v>
      </c>
      <c r="F11" s="17">
        <v>1250000</v>
      </c>
      <c r="G11" s="17">
        <v>41666.67</v>
      </c>
      <c r="H11" s="31">
        <v>1</v>
      </c>
      <c r="I11" s="1" t="s">
        <v>21</v>
      </c>
      <c r="J11" s="1" t="s">
        <v>22</v>
      </c>
      <c r="K11" s="1" t="s">
        <v>23</v>
      </c>
      <c r="L11" s="1" t="s">
        <v>17</v>
      </c>
      <c r="M11" s="1" t="s">
        <v>24</v>
      </c>
      <c r="N11" s="31">
        <v>3</v>
      </c>
      <c r="O11" s="31">
        <v>2</v>
      </c>
      <c r="P11" s="32">
        <v>2000</v>
      </c>
    </row>
    <row r="12" spans="1:16" x14ac:dyDescent="0.25">
      <c r="A12" s="1" t="s">
        <v>25</v>
      </c>
      <c r="B12" s="31">
        <v>46.7</v>
      </c>
      <c r="C12" s="1" t="s">
        <v>20</v>
      </c>
      <c r="D12" s="2">
        <v>42705</v>
      </c>
      <c r="E12" s="2">
        <v>42705</v>
      </c>
      <c r="F12" s="17">
        <v>2118000</v>
      </c>
      <c r="G12" s="17">
        <v>45353.32</v>
      </c>
      <c r="H12" s="31">
        <v>1</v>
      </c>
      <c r="I12" s="1" t="s">
        <v>21</v>
      </c>
      <c r="J12" s="1" t="s">
        <v>22</v>
      </c>
      <c r="K12" s="1" t="s">
        <v>23</v>
      </c>
      <c r="L12" s="1" t="s">
        <v>17</v>
      </c>
      <c r="M12" s="1" t="s">
        <v>26</v>
      </c>
      <c r="N12" s="31">
        <v>1</v>
      </c>
      <c r="O12" s="31">
        <v>1</v>
      </c>
      <c r="P12" s="32">
        <v>2010</v>
      </c>
    </row>
    <row r="13" spans="1:16" x14ac:dyDescent="0.25">
      <c r="A13" s="1" t="s">
        <v>35</v>
      </c>
      <c r="B13" s="31">
        <v>52.6</v>
      </c>
      <c r="C13" s="1" t="s">
        <v>20</v>
      </c>
      <c r="D13" s="2">
        <v>42644</v>
      </c>
      <c r="E13" s="2">
        <v>42644</v>
      </c>
      <c r="F13" s="17">
        <v>700000</v>
      </c>
      <c r="G13" s="17">
        <v>13307.98</v>
      </c>
      <c r="H13" s="31">
        <v>1</v>
      </c>
      <c r="I13" s="1" t="s">
        <v>21</v>
      </c>
      <c r="J13" s="1" t="s">
        <v>22</v>
      </c>
      <c r="K13" s="1" t="s">
        <v>36</v>
      </c>
      <c r="L13" s="1" t="s">
        <v>34</v>
      </c>
      <c r="M13" s="1" t="s">
        <v>37</v>
      </c>
      <c r="N13" s="31">
        <v>2</v>
      </c>
      <c r="O13" s="31">
        <v>1</v>
      </c>
      <c r="P13" s="32">
        <v>2008</v>
      </c>
    </row>
    <row r="14" spans="1:16" x14ac:dyDescent="0.25">
      <c r="A14" s="1" t="s">
        <v>40</v>
      </c>
      <c r="B14" s="31">
        <v>32.4</v>
      </c>
      <c r="C14" s="1" t="s">
        <v>20</v>
      </c>
      <c r="D14" s="2">
        <v>42767</v>
      </c>
      <c r="E14" s="2">
        <v>42767</v>
      </c>
      <c r="F14" s="17">
        <v>454000</v>
      </c>
      <c r="G14" s="17">
        <v>14012.35</v>
      </c>
      <c r="H14" s="31">
        <v>1</v>
      </c>
      <c r="I14" s="1" t="s">
        <v>21</v>
      </c>
      <c r="J14" s="1" t="s">
        <v>22</v>
      </c>
      <c r="K14" s="1" t="s">
        <v>36</v>
      </c>
      <c r="L14" s="1" t="s">
        <v>34</v>
      </c>
      <c r="M14" s="1" t="s">
        <v>41</v>
      </c>
      <c r="N14" s="31">
        <v>1</v>
      </c>
      <c r="O14" s="31">
        <v>1</v>
      </c>
      <c r="P14" s="32">
        <v>2016</v>
      </c>
    </row>
    <row r="15" spans="1:16" x14ac:dyDescent="0.25">
      <c r="A15" s="1" t="s">
        <v>38</v>
      </c>
      <c r="B15" s="31">
        <v>49.4</v>
      </c>
      <c r="C15" s="1" t="s">
        <v>20</v>
      </c>
      <c r="D15" s="2">
        <v>42583</v>
      </c>
      <c r="E15" s="2">
        <v>42705</v>
      </c>
      <c r="F15" s="17">
        <v>1619134</v>
      </c>
      <c r="G15" s="17">
        <v>32775.99</v>
      </c>
      <c r="H15" s="31">
        <v>1</v>
      </c>
      <c r="I15" s="1" t="s">
        <v>21</v>
      </c>
      <c r="J15" s="1" t="s">
        <v>32</v>
      </c>
      <c r="K15" s="1" t="s">
        <v>36</v>
      </c>
      <c r="L15" s="1" t="s">
        <v>34</v>
      </c>
      <c r="M15" s="1" t="s">
        <v>39</v>
      </c>
      <c r="N15" s="31">
        <v>2</v>
      </c>
      <c r="O15" s="31">
        <v>1</v>
      </c>
      <c r="P15" s="32">
        <v>2016</v>
      </c>
    </row>
    <row r="16" spans="1:16" x14ac:dyDescent="0.25">
      <c r="A16" s="1" t="s">
        <v>50</v>
      </c>
      <c r="B16" s="31">
        <v>52.4</v>
      </c>
      <c r="C16" s="1" t="s">
        <v>20</v>
      </c>
      <c r="D16" s="2">
        <v>42767</v>
      </c>
      <c r="E16" s="2">
        <v>42767</v>
      </c>
      <c r="F16" s="17">
        <v>775000</v>
      </c>
      <c r="G16" s="17">
        <v>14790.08</v>
      </c>
      <c r="H16" s="31">
        <v>1</v>
      </c>
      <c r="I16" s="1" t="s">
        <v>21</v>
      </c>
      <c r="J16" s="1" t="s">
        <v>18</v>
      </c>
      <c r="K16" s="1" t="s">
        <v>48</v>
      </c>
      <c r="L16" s="1" t="s">
        <v>46</v>
      </c>
      <c r="M16" s="1" t="s">
        <v>51</v>
      </c>
      <c r="N16" s="31">
        <v>1</v>
      </c>
      <c r="O16" s="31">
        <v>1</v>
      </c>
      <c r="P16" s="32">
        <v>2010</v>
      </c>
    </row>
    <row r="17" spans="1:16" x14ac:dyDescent="0.25">
      <c r="A17" s="1" t="s">
        <v>52</v>
      </c>
      <c r="B17" s="31">
        <v>32.1</v>
      </c>
      <c r="C17" s="1" t="s">
        <v>20</v>
      </c>
      <c r="D17" s="2">
        <v>42705</v>
      </c>
      <c r="E17" s="2">
        <v>42705</v>
      </c>
      <c r="F17" s="17">
        <v>500000</v>
      </c>
      <c r="G17" s="17">
        <v>15576.32</v>
      </c>
      <c r="H17" s="31">
        <v>1</v>
      </c>
      <c r="I17" s="1" t="s">
        <v>21</v>
      </c>
      <c r="J17" s="1" t="s">
        <v>22</v>
      </c>
      <c r="K17" s="1" t="s">
        <v>48</v>
      </c>
      <c r="L17" s="1" t="s">
        <v>46</v>
      </c>
      <c r="M17" s="1" t="s">
        <v>53</v>
      </c>
      <c r="N17" s="31">
        <v>3</v>
      </c>
      <c r="O17" s="31">
        <v>1</v>
      </c>
      <c r="P17" s="32">
        <v>2012</v>
      </c>
    </row>
    <row r="18" spans="1:16" x14ac:dyDescent="0.25">
      <c r="A18" s="1" t="s">
        <v>50</v>
      </c>
      <c r="B18" s="31">
        <v>43.5</v>
      </c>
      <c r="C18" s="1" t="s">
        <v>20</v>
      </c>
      <c r="D18" s="2">
        <v>42675</v>
      </c>
      <c r="E18" s="2">
        <v>42705</v>
      </c>
      <c r="F18" s="17">
        <v>700000</v>
      </c>
      <c r="G18" s="17">
        <v>16091.95</v>
      </c>
      <c r="H18" s="31">
        <v>1</v>
      </c>
      <c r="I18" s="1" t="s">
        <v>21</v>
      </c>
      <c r="J18" s="1" t="s">
        <v>22</v>
      </c>
      <c r="K18" s="1" t="s">
        <v>48</v>
      </c>
      <c r="L18" s="1" t="s">
        <v>46</v>
      </c>
      <c r="M18" s="1" t="s">
        <v>51</v>
      </c>
      <c r="N18" s="31">
        <v>2</v>
      </c>
      <c r="O18" s="31">
        <v>1</v>
      </c>
      <c r="P18" s="32">
        <v>2008</v>
      </c>
    </row>
    <row r="19" spans="1:16" x14ac:dyDescent="0.25">
      <c r="A19" s="1" t="s">
        <v>47</v>
      </c>
      <c r="B19" s="31">
        <v>40.299999999999997</v>
      </c>
      <c r="C19" s="1" t="s">
        <v>20</v>
      </c>
      <c r="D19" s="2">
        <v>42644</v>
      </c>
      <c r="E19" s="2">
        <v>42644</v>
      </c>
      <c r="F19" s="17">
        <v>996000</v>
      </c>
      <c r="G19" s="17">
        <v>24714.639999999999</v>
      </c>
      <c r="H19" s="31">
        <v>1</v>
      </c>
      <c r="I19" s="1" t="s">
        <v>21</v>
      </c>
      <c r="J19" s="1" t="s">
        <v>22</v>
      </c>
      <c r="K19" s="1" t="s">
        <v>48</v>
      </c>
      <c r="L19" s="1" t="s">
        <v>46</v>
      </c>
      <c r="M19" s="1" t="s">
        <v>49</v>
      </c>
      <c r="N19" s="31">
        <v>2</v>
      </c>
      <c r="O19" s="31">
        <v>1</v>
      </c>
      <c r="P19" s="32">
        <v>2002</v>
      </c>
    </row>
    <row r="20" spans="1:16" x14ac:dyDescent="0.25">
      <c r="A20" s="1" t="s">
        <v>57</v>
      </c>
      <c r="B20" s="31">
        <v>41.7</v>
      </c>
      <c r="C20" s="1" t="s">
        <v>20</v>
      </c>
      <c r="D20" s="2">
        <v>42644</v>
      </c>
      <c r="E20" s="2">
        <v>42644</v>
      </c>
      <c r="F20" s="17">
        <v>800000</v>
      </c>
      <c r="G20" s="17">
        <v>19184.650000000001</v>
      </c>
      <c r="H20" s="31">
        <v>1</v>
      </c>
      <c r="I20" s="1" t="s">
        <v>21</v>
      </c>
      <c r="J20" s="1" t="s">
        <v>22</v>
      </c>
      <c r="K20" s="1" t="s">
        <v>58</v>
      </c>
      <c r="L20" s="1" t="s">
        <v>56</v>
      </c>
      <c r="M20" s="1" t="s">
        <v>62</v>
      </c>
      <c r="N20" s="31">
        <v>2</v>
      </c>
      <c r="O20" s="31">
        <v>1</v>
      </c>
      <c r="P20" s="32">
        <v>2006</v>
      </c>
    </row>
    <row r="21" spans="1:16" x14ac:dyDescent="0.25">
      <c r="A21" s="1" t="s">
        <v>60</v>
      </c>
      <c r="B21" s="31">
        <v>48.8</v>
      </c>
      <c r="C21" s="1" t="s">
        <v>20</v>
      </c>
      <c r="D21" s="2">
        <v>42705</v>
      </c>
      <c r="E21" s="2">
        <v>42705</v>
      </c>
      <c r="F21" s="17">
        <v>960000</v>
      </c>
      <c r="G21" s="17">
        <v>19672.13</v>
      </c>
      <c r="H21" s="31">
        <v>1</v>
      </c>
      <c r="I21" s="1" t="s">
        <v>21</v>
      </c>
      <c r="J21" s="1" t="s">
        <v>22</v>
      </c>
      <c r="K21" s="1" t="s">
        <v>58</v>
      </c>
      <c r="L21" s="1" t="s">
        <v>56</v>
      </c>
      <c r="M21" s="1" t="s">
        <v>61</v>
      </c>
      <c r="N21" s="31">
        <v>5</v>
      </c>
      <c r="O21" s="31">
        <v>1</v>
      </c>
      <c r="P21" s="32">
        <v>2002</v>
      </c>
    </row>
    <row r="22" spans="1:16" x14ac:dyDescent="0.25">
      <c r="A22" s="1" t="s">
        <v>65</v>
      </c>
      <c r="B22" s="31">
        <v>47.2</v>
      </c>
      <c r="C22" s="1" t="s">
        <v>20</v>
      </c>
      <c r="D22" s="2">
        <v>42705</v>
      </c>
      <c r="E22" s="2">
        <v>42705</v>
      </c>
      <c r="F22" s="17">
        <v>940000</v>
      </c>
      <c r="G22" s="17">
        <v>19915.25</v>
      </c>
      <c r="H22" s="31">
        <v>1</v>
      </c>
      <c r="I22" s="1" t="s">
        <v>21</v>
      </c>
      <c r="J22" s="1" t="s">
        <v>22</v>
      </c>
      <c r="K22" s="1" t="s">
        <v>58</v>
      </c>
      <c r="L22" s="1" t="s">
        <v>56</v>
      </c>
      <c r="M22" s="1" t="s">
        <v>41</v>
      </c>
      <c r="N22" s="31">
        <v>1</v>
      </c>
      <c r="O22" s="31">
        <v>1</v>
      </c>
      <c r="P22" s="32">
        <v>2007</v>
      </c>
    </row>
    <row r="23" spans="1:16" x14ac:dyDescent="0.25">
      <c r="A23" s="1" t="s">
        <v>57</v>
      </c>
      <c r="B23" s="31">
        <v>20.3</v>
      </c>
      <c r="C23" s="1" t="s">
        <v>20</v>
      </c>
      <c r="D23" s="2">
        <v>42675</v>
      </c>
      <c r="E23" s="2">
        <v>42675</v>
      </c>
      <c r="F23" s="17">
        <v>443000</v>
      </c>
      <c r="G23" s="17">
        <v>21822.66</v>
      </c>
      <c r="H23" s="31">
        <v>1</v>
      </c>
      <c r="I23" s="1" t="s">
        <v>21</v>
      </c>
      <c r="J23" s="1" t="s">
        <v>18</v>
      </c>
      <c r="K23" s="1" t="s">
        <v>58</v>
      </c>
      <c r="L23" s="1" t="s">
        <v>56</v>
      </c>
      <c r="M23" s="1" t="s">
        <v>63</v>
      </c>
      <c r="N23" s="31">
        <v>1</v>
      </c>
      <c r="O23" s="31">
        <v>1</v>
      </c>
      <c r="P23" s="32">
        <v>2012</v>
      </c>
    </row>
    <row r="24" spans="1:16" x14ac:dyDescent="0.25">
      <c r="A24" s="1" t="s">
        <v>60</v>
      </c>
      <c r="B24" s="31">
        <v>35.299999999999997</v>
      </c>
      <c r="C24" s="1" t="s">
        <v>20</v>
      </c>
      <c r="D24" s="2">
        <v>42736</v>
      </c>
      <c r="E24" s="2">
        <v>42736</v>
      </c>
      <c r="F24" s="17">
        <v>775200</v>
      </c>
      <c r="G24" s="17">
        <v>21960.34</v>
      </c>
      <c r="H24" s="31">
        <v>1</v>
      </c>
      <c r="I24" s="1" t="s">
        <v>21</v>
      </c>
      <c r="J24" s="1" t="s">
        <v>22</v>
      </c>
      <c r="K24" s="1" t="s">
        <v>58</v>
      </c>
      <c r="L24" s="1" t="s">
        <v>56</v>
      </c>
      <c r="M24" s="1"/>
      <c r="N24" s="31">
        <v>1</v>
      </c>
      <c r="O24" s="31">
        <v>1</v>
      </c>
      <c r="P24" s="32">
        <v>2013</v>
      </c>
    </row>
    <row r="25" spans="1:16" x14ac:dyDescent="0.25">
      <c r="A25" s="1" t="s">
        <v>57</v>
      </c>
      <c r="B25" s="31">
        <v>41.7</v>
      </c>
      <c r="C25" s="1" t="s">
        <v>20</v>
      </c>
      <c r="D25" s="2">
        <v>42675</v>
      </c>
      <c r="E25" s="2">
        <v>42675</v>
      </c>
      <c r="F25" s="17">
        <v>919200</v>
      </c>
      <c r="G25" s="17">
        <v>22043.17</v>
      </c>
      <c r="H25" s="31">
        <v>1</v>
      </c>
      <c r="I25" s="1" t="s">
        <v>21</v>
      </c>
      <c r="J25" s="1" t="s">
        <v>22</v>
      </c>
      <c r="K25" s="1" t="s">
        <v>58</v>
      </c>
      <c r="L25" s="1" t="s">
        <v>56</v>
      </c>
      <c r="M25" s="1"/>
      <c r="N25" s="31">
        <v>1</v>
      </c>
      <c r="O25" s="31">
        <v>1</v>
      </c>
      <c r="P25" s="32">
        <v>2001</v>
      </c>
    </row>
    <row r="26" spans="1:16" x14ac:dyDescent="0.25">
      <c r="A26" s="1" t="s">
        <v>57</v>
      </c>
      <c r="B26" s="31">
        <v>15</v>
      </c>
      <c r="C26" s="1" t="s">
        <v>20</v>
      </c>
      <c r="D26" s="2">
        <v>42675</v>
      </c>
      <c r="E26" s="2">
        <v>42675</v>
      </c>
      <c r="F26" s="17">
        <v>400000</v>
      </c>
      <c r="G26" s="17">
        <v>26666.67</v>
      </c>
      <c r="H26" s="31">
        <v>1</v>
      </c>
      <c r="I26" s="1" t="s">
        <v>21</v>
      </c>
      <c r="J26" s="1" t="s">
        <v>22</v>
      </c>
      <c r="K26" s="1" t="s">
        <v>58</v>
      </c>
      <c r="L26" s="1" t="s">
        <v>56</v>
      </c>
      <c r="M26" s="1" t="s">
        <v>62</v>
      </c>
      <c r="N26" s="31">
        <v>2</v>
      </c>
      <c r="O26" s="31">
        <v>1</v>
      </c>
      <c r="P26" s="32">
        <v>2010</v>
      </c>
    </row>
    <row r="27" spans="1:16" x14ac:dyDescent="0.25">
      <c r="A27" s="1" t="s">
        <v>68</v>
      </c>
      <c r="B27" s="31">
        <v>43.7</v>
      </c>
      <c r="C27" s="1" t="s">
        <v>20</v>
      </c>
      <c r="D27" s="2">
        <v>42705</v>
      </c>
      <c r="E27" s="2">
        <v>42736</v>
      </c>
      <c r="F27" s="17">
        <v>816300</v>
      </c>
      <c r="G27" s="17">
        <v>18679.63</v>
      </c>
      <c r="H27" s="31">
        <v>1</v>
      </c>
      <c r="I27" s="1" t="s">
        <v>21</v>
      </c>
      <c r="J27" s="1" t="s">
        <v>22</v>
      </c>
      <c r="K27" s="1" t="s">
        <v>69</v>
      </c>
      <c r="L27" s="1" t="s">
        <v>67</v>
      </c>
      <c r="M27" s="1" t="s">
        <v>71</v>
      </c>
      <c r="N27" s="31">
        <v>2</v>
      </c>
      <c r="O27" s="31">
        <v>1</v>
      </c>
      <c r="P27" s="32">
        <v>2016</v>
      </c>
    </row>
    <row r="28" spans="1:16" x14ac:dyDescent="0.25">
      <c r="A28" s="1" t="s">
        <v>68</v>
      </c>
      <c r="B28" s="31">
        <v>50.9</v>
      </c>
      <c r="C28" s="1" t="s">
        <v>20</v>
      </c>
      <c r="D28" s="2">
        <v>42614</v>
      </c>
      <c r="E28" s="2">
        <v>42644</v>
      </c>
      <c r="F28" s="17">
        <v>1050000</v>
      </c>
      <c r="G28" s="17">
        <v>20628.68</v>
      </c>
      <c r="H28" s="31">
        <v>1</v>
      </c>
      <c r="I28" s="1" t="s">
        <v>21</v>
      </c>
      <c r="J28" s="1" t="s">
        <v>18</v>
      </c>
      <c r="K28" s="1" t="s">
        <v>69</v>
      </c>
      <c r="L28" s="1" t="s">
        <v>67</v>
      </c>
      <c r="M28" s="1" t="s">
        <v>70</v>
      </c>
      <c r="N28" s="31">
        <v>1</v>
      </c>
      <c r="O28" s="31">
        <v>1</v>
      </c>
      <c r="P28" s="32">
        <v>2014</v>
      </c>
    </row>
    <row r="29" spans="1:16" x14ac:dyDescent="0.25">
      <c r="A29" s="1" t="s">
        <v>74</v>
      </c>
      <c r="B29" s="31">
        <v>34.799999999999997</v>
      </c>
      <c r="C29" s="1" t="s">
        <v>20</v>
      </c>
      <c r="D29" s="2">
        <v>42705</v>
      </c>
      <c r="E29" s="2">
        <v>42705</v>
      </c>
      <c r="F29" s="17">
        <v>750000</v>
      </c>
      <c r="G29" s="17">
        <v>21551.72</v>
      </c>
      <c r="H29" s="31">
        <v>1</v>
      </c>
      <c r="I29" s="1" t="s">
        <v>21</v>
      </c>
      <c r="J29" s="1" t="s">
        <v>22</v>
      </c>
      <c r="K29" s="1" t="s">
        <v>69</v>
      </c>
      <c r="L29" s="1" t="s">
        <v>67</v>
      </c>
      <c r="M29" s="1" t="s">
        <v>75</v>
      </c>
      <c r="N29" s="31">
        <v>1</v>
      </c>
      <c r="O29" s="31">
        <v>1</v>
      </c>
      <c r="P29" s="32">
        <v>2002</v>
      </c>
    </row>
    <row r="30" spans="1:16" x14ac:dyDescent="0.25">
      <c r="A30" s="1" t="s">
        <v>72</v>
      </c>
      <c r="B30" s="31">
        <v>33.1</v>
      </c>
      <c r="C30" s="1" t="s">
        <v>20</v>
      </c>
      <c r="D30" s="2">
        <v>42705</v>
      </c>
      <c r="E30" s="2">
        <v>42705</v>
      </c>
      <c r="F30" s="17">
        <v>759900</v>
      </c>
      <c r="G30" s="17">
        <v>22957.7</v>
      </c>
      <c r="H30" s="31">
        <v>1</v>
      </c>
      <c r="I30" s="1" t="s">
        <v>21</v>
      </c>
      <c r="J30" s="1" t="s">
        <v>22</v>
      </c>
      <c r="K30" s="1" t="s">
        <v>69</v>
      </c>
      <c r="L30" s="1" t="s">
        <v>67</v>
      </c>
      <c r="M30" s="1" t="s">
        <v>73</v>
      </c>
      <c r="N30" s="31">
        <v>1</v>
      </c>
      <c r="O30" s="31">
        <v>1</v>
      </c>
      <c r="P30" s="32">
        <v>2016</v>
      </c>
    </row>
    <row r="31" spans="1:16" x14ac:dyDescent="0.25">
      <c r="A31" s="1" t="s">
        <v>72</v>
      </c>
      <c r="B31" s="31">
        <v>33.4</v>
      </c>
      <c r="C31" s="1" t="s">
        <v>20</v>
      </c>
      <c r="D31" s="2">
        <v>42675</v>
      </c>
      <c r="E31" s="2">
        <v>42675</v>
      </c>
      <c r="F31" s="17">
        <v>768600</v>
      </c>
      <c r="G31" s="17">
        <v>23011.98</v>
      </c>
      <c r="H31" s="31">
        <v>1</v>
      </c>
      <c r="I31" s="1" t="s">
        <v>21</v>
      </c>
      <c r="J31" s="1" t="s">
        <v>22</v>
      </c>
      <c r="K31" s="1" t="s">
        <v>69</v>
      </c>
      <c r="L31" s="1" t="s">
        <v>67</v>
      </c>
      <c r="M31" s="1" t="s">
        <v>73</v>
      </c>
      <c r="N31" s="31">
        <v>1</v>
      </c>
      <c r="O31" s="31">
        <v>1</v>
      </c>
      <c r="P31" s="32">
        <v>2016</v>
      </c>
    </row>
    <row r="32" spans="1:16" x14ac:dyDescent="0.25">
      <c r="A32" s="1" t="s">
        <v>72</v>
      </c>
      <c r="B32" s="31">
        <v>47.7</v>
      </c>
      <c r="C32" s="1" t="s">
        <v>20</v>
      </c>
      <c r="D32" s="2">
        <v>42644</v>
      </c>
      <c r="E32" s="2">
        <v>42675</v>
      </c>
      <c r="F32" s="17">
        <v>1136000</v>
      </c>
      <c r="G32" s="17">
        <v>23815.51</v>
      </c>
      <c r="H32" s="31">
        <v>1</v>
      </c>
      <c r="I32" s="1" t="s">
        <v>21</v>
      </c>
      <c r="J32" s="1" t="s">
        <v>22</v>
      </c>
      <c r="K32" s="1" t="s">
        <v>69</v>
      </c>
      <c r="L32" s="1" t="s">
        <v>67</v>
      </c>
      <c r="M32" s="1" t="s">
        <v>73</v>
      </c>
      <c r="N32" s="31">
        <v>2</v>
      </c>
      <c r="O32" s="31">
        <v>1</v>
      </c>
      <c r="P32" s="32">
        <v>2016</v>
      </c>
    </row>
    <row r="33" spans="1:16" x14ac:dyDescent="0.25">
      <c r="A33" s="1" t="s">
        <v>68</v>
      </c>
      <c r="B33" s="31">
        <v>31.4</v>
      </c>
      <c r="C33" s="1" t="s">
        <v>20</v>
      </c>
      <c r="D33" s="2">
        <v>42583</v>
      </c>
      <c r="E33" s="2">
        <v>42644</v>
      </c>
      <c r="F33" s="17">
        <v>770700</v>
      </c>
      <c r="G33" s="17">
        <v>24544.59</v>
      </c>
      <c r="H33" s="31">
        <v>1</v>
      </c>
      <c r="I33" s="1" t="s">
        <v>21</v>
      </c>
      <c r="J33" s="1" t="s">
        <v>22</v>
      </c>
      <c r="K33" s="1" t="s">
        <v>69</v>
      </c>
      <c r="L33" s="1" t="s">
        <v>67</v>
      </c>
      <c r="M33" s="1" t="s">
        <v>71</v>
      </c>
      <c r="N33" s="31">
        <v>1</v>
      </c>
      <c r="O33" s="31">
        <v>1</v>
      </c>
      <c r="P33" s="32">
        <v>2015</v>
      </c>
    </row>
    <row r="34" spans="1:16" x14ac:dyDescent="0.25">
      <c r="A34" s="1" t="s">
        <v>97</v>
      </c>
      <c r="B34" s="31">
        <v>33.799999999999997</v>
      </c>
      <c r="C34" s="1" t="s">
        <v>20</v>
      </c>
      <c r="D34" s="2">
        <v>42675</v>
      </c>
      <c r="E34" s="2">
        <v>42675</v>
      </c>
      <c r="F34" s="17">
        <v>680000</v>
      </c>
      <c r="G34" s="17">
        <v>20118.34</v>
      </c>
      <c r="H34" s="31">
        <v>1</v>
      </c>
      <c r="I34" s="1" t="s">
        <v>21</v>
      </c>
      <c r="J34" s="1" t="s">
        <v>32</v>
      </c>
      <c r="K34" s="1" t="s">
        <v>78</v>
      </c>
      <c r="L34" s="1" t="s">
        <v>76</v>
      </c>
      <c r="M34" s="1" t="s">
        <v>98</v>
      </c>
      <c r="N34" s="31">
        <v>4</v>
      </c>
      <c r="O34" s="31">
        <v>1</v>
      </c>
      <c r="P34" s="32">
        <v>2008</v>
      </c>
    </row>
    <row r="35" spans="1:16" x14ac:dyDescent="0.25">
      <c r="A35" s="1" t="s">
        <v>84</v>
      </c>
      <c r="B35" s="31">
        <v>29.8</v>
      </c>
      <c r="C35" s="1" t="s">
        <v>20</v>
      </c>
      <c r="D35" s="2">
        <v>42644</v>
      </c>
      <c r="E35" s="2">
        <v>42644</v>
      </c>
      <c r="F35" s="17">
        <v>600000</v>
      </c>
      <c r="G35" s="17">
        <v>20134.23</v>
      </c>
      <c r="H35" s="31">
        <v>1</v>
      </c>
      <c r="I35" s="1" t="s">
        <v>21</v>
      </c>
      <c r="J35" s="1" t="s">
        <v>32</v>
      </c>
      <c r="K35" s="1" t="s">
        <v>78</v>
      </c>
      <c r="L35" s="1" t="s">
        <v>76</v>
      </c>
      <c r="M35" s="1" t="s">
        <v>85</v>
      </c>
      <c r="N35" s="31">
        <v>2</v>
      </c>
      <c r="O35" s="31">
        <v>1</v>
      </c>
      <c r="P35" s="32">
        <v>2007</v>
      </c>
    </row>
    <row r="36" spans="1:16" x14ac:dyDescent="0.25">
      <c r="A36" s="1" t="s">
        <v>87</v>
      </c>
      <c r="B36" s="31">
        <v>51.9</v>
      </c>
      <c r="C36" s="1" t="s">
        <v>20</v>
      </c>
      <c r="D36" s="2">
        <v>42705</v>
      </c>
      <c r="E36" s="2">
        <v>42705</v>
      </c>
      <c r="F36" s="17">
        <v>1050000</v>
      </c>
      <c r="G36" s="17">
        <v>20231.21</v>
      </c>
      <c r="H36" s="31">
        <v>1</v>
      </c>
      <c r="I36" s="1" t="s">
        <v>21</v>
      </c>
      <c r="J36" s="1" t="s">
        <v>32</v>
      </c>
      <c r="K36" s="1" t="s">
        <v>78</v>
      </c>
      <c r="L36" s="1" t="s">
        <v>76</v>
      </c>
      <c r="M36" s="1"/>
      <c r="N36" s="31">
        <v>4</v>
      </c>
      <c r="O36" s="31">
        <v>1</v>
      </c>
      <c r="P36" s="32">
        <v>2009</v>
      </c>
    </row>
    <row r="37" spans="1:16" x14ac:dyDescent="0.25">
      <c r="A37" s="1" t="s">
        <v>93</v>
      </c>
      <c r="B37" s="31">
        <v>43.9</v>
      </c>
      <c r="C37" s="1" t="s">
        <v>20</v>
      </c>
      <c r="D37" s="2">
        <v>42795</v>
      </c>
      <c r="E37" s="2">
        <v>42795</v>
      </c>
      <c r="F37" s="17">
        <v>900000</v>
      </c>
      <c r="G37" s="17">
        <v>20501.14</v>
      </c>
      <c r="H37" s="31">
        <v>1</v>
      </c>
      <c r="I37" s="1" t="s">
        <v>21</v>
      </c>
      <c r="J37" s="1" t="s">
        <v>32</v>
      </c>
      <c r="K37" s="1" t="s">
        <v>78</v>
      </c>
      <c r="L37" s="1" t="s">
        <v>76</v>
      </c>
      <c r="M37" s="1" t="s">
        <v>96</v>
      </c>
      <c r="N37" s="31">
        <v>3</v>
      </c>
      <c r="O37" s="31">
        <v>2</v>
      </c>
      <c r="P37" s="32">
        <v>2005</v>
      </c>
    </row>
    <row r="38" spans="1:16" x14ac:dyDescent="0.25">
      <c r="A38" s="1" t="s">
        <v>93</v>
      </c>
      <c r="B38" s="31">
        <v>43.9</v>
      </c>
      <c r="C38" s="1" t="s">
        <v>20</v>
      </c>
      <c r="D38" s="2">
        <v>42795</v>
      </c>
      <c r="E38" s="2">
        <v>42795</v>
      </c>
      <c r="F38" s="17">
        <v>900000</v>
      </c>
      <c r="G38" s="17">
        <v>20501.14</v>
      </c>
      <c r="H38" s="31">
        <v>1</v>
      </c>
      <c r="I38" s="1" t="s">
        <v>21</v>
      </c>
      <c r="J38" s="1" t="s">
        <v>32</v>
      </c>
      <c r="K38" s="1" t="s">
        <v>78</v>
      </c>
      <c r="L38" s="1" t="s">
        <v>76</v>
      </c>
      <c r="M38" s="1" t="s">
        <v>96</v>
      </c>
      <c r="N38" s="31">
        <v>3</v>
      </c>
      <c r="O38" s="31">
        <v>2</v>
      </c>
      <c r="P38" s="32">
        <v>2005</v>
      </c>
    </row>
    <row r="39" spans="1:16" x14ac:dyDescent="0.25">
      <c r="A39" s="1" t="s">
        <v>95</v>
      </c>
      <c r="B39" s="31">
        <v>34.799999999999997</v>
      </c>
      <c r="C39" s="1" t="s">
        <v>20</v>
      </c>
      <c r="D39" s="2">
        <v>42705</v>
      </c>
      <c r="E39" s="2">
        <v>42705</v>
      </c>
      <c r="F39" s="17">
        <v>720000</v>
      </c>
      <c r="G39" s="17">
        <v>20689.66</v>
      </c>
      <c r="H39" s="31">
        <v>1</v>
      </c>
      <c r="I39" s="1" t="s">
        <v>21</v>
      </c>
      <c r="J39" s="1" t="s">
        <v>32</v>
      </c>
      <c r="K39" s="1" t="s">
        <v>78</v>
      </c>
      <c r="L39" s="1" t="s">
        <v>76</v>
      </c>
      <c r="M39" s="1" t="s">
        <v>94</v>
      </c>
      <c r="N39" s="31">
        <v>1</v>
      </c>
      <c r="O39" s="31">
        <v>1</v>
      </c>
      <c r="P39" s="32">
        <v>2000</v>
      </c>
    </row>
    <row r="40" spans="1:16" x14ac:dyDescent="0.25">
      <c r="A40" s="1" t="s">
        <v>102</v>
      </c>
      <c r="B40" s="31">
        <v>40.299999999999997</v>
      </c>
      <c r="C40" s="1" t="s">
        <v>20</v>
      </c>
      <c r="D40" s="2">
        <v>42795</v>
      </c>
      <c r="E40" s="2">
        <v>42795</v>
      </c>
      <c r="F40" s="17">
        <v>850000</v>
      </c>
      <c r="G40" s="17">
        <v>21091.81</v>
      </c>
      <c r="H40" s="31">
        <v>1</v>
      </c>
      <c r="I40" s="1" t="s">
        <v>21</v>
      </c>
      <c r="J40" s="1" t="s">
        <v>32</v>
      </c>
      <c r="K40" s="1" t="s">
        <v>78</v>
      </c>
      <c r="L40" s="1" t="s">
        <v>76</v>
      </c>
      <c r="M40" s="1"/>
      <c r="N40" s="31">
        <v>5</v>
      </c>
      <c r="O40" s="31">
        <v>1</v>
      </c>
      <c r="P40" s="32">
        <v>2008</v>
      </c>
    </row>
    <row r="41" spans="1:16" x14ac:dyDescent="0.25">
      <c r="A41" s="1" t="s">
        <v>83</v>
      </c>
      <c r="B41" s="31">
        <v>23.5</v>
      </c>
      <c r="C41" s="1" t="s">
        <v>20</v>
      </c>
      <c r="D41" s="2">
        <v>42705</v>
      </c>
      <c r="E41" s="2">
        <v>42705</v>
      </c>
      <c r="F41" s="17">
        <v>500000</v>
      </c>
      <c r="G41" s="17">
        <v>21276.6</v>
      </c>
      <c r="H41" s="31">
        <v>1</v>
      </c>
      <c r="I41" s="1" t="s">
        <v>21</v>
      </c>
      <c r="J41" s="1" t="s">
        <v>32</v>
      </c>
      <c r="K41" s="1" t="s">
        <v>78</v>
      </c>
      <c r="L41" s="1" t="s">
        <v>76</v>
      </c>
      <c r="M41" s="1"/>
      <c r="N41" s="31">
        <v>3</v>
      </c>
      <c r="O41" s="31">
        <v>1</v>
      </c>
      <c r="P41" s="32">
        <v>2000</v>
      </c>
    </row>
    <row r="42" spans="1:16" x14ac:dyDescent="0.25">
      <c r="A42" s="1" t="s">
        <v>83</v>
      </c>
      <c r="B42" s="31">
        <v>32.9</v>
      </c>
      <c r="C42" s="1" t="s">
        <v>20</v>
      </c>
      <c r="D42" s="2">
        <v>42767</v>
      </c>
      <c r="E42" s="2">
        <v>42767</v>
      </c>
      <c r="F42" s="17">
        <v>700000</v>
      </c>
      <c r="G42" s="17">
        <v>21276.6</v>
      </c>
      <c r="H42" s="31">
        <v>1</v>
      </c>
      <c r="I42" s="1" t="s">
        <v>21</v>
      </c>
      <c r="J42" s="1" t="s">
        <v>32</v>
      </c>
      <c r="K42" s="1" t="s">
        <v>78</v>
      </c>
      <c r="L42" s="1" t="s">
        <v>76</v>
      </c>
      <c r="M42" s="1"/>
      <c r="N42" s="31">
        <v>3</v>
      </c>
      <c r="O42" s="31">
        <v>1</v>
      </c>
      <c r="P42" s="32">
        <v>2001</v>
      </c>
    </row>
    <row r="43" spans="1:16" x14ac:dyDescent="0.25">
      <c r="A43" s="1" t="s">
        <v>83</v>
      </c>
      <c r="B43" s="31">
        <v>50.3</v>
      </c>
      <c r="C43" s="1" t="s">
        <v>20</v>
      </c>
      <c r="D43" s="2">
        <v>42795</v>
      </c>
      <c r="E43" s="2">
        <v>42795</v>
      </c>
      <c r="F43" s="17">
        <v>1080000</v>
      </c>
      <c r="G43" s="17">
        <v>21471.17</v>
      </c>
      <c r="H43" s="31">
        <v>1</v>
      </c>
      <c r="I43" s="1" t="s">
        <v>21</v>
      </c>
      <c r="J43" s="1" t="s">
        <v>32</v>
      </c>
      <c r="K43" s="1" t="s">
        <v>78</v>
      </c>
      <c r="L43" s="1" t="s">
        <v>76</v>
      </c>
      <c r="M43" s="1" t="s">
        <v>92</v>
      </c>
      <c r="N43" s="31">
        <v>5</v>
      </c>
      <c r="O43" s="31">
        <v>2</v>
      </c>
      <c r="P43" s="32">
        <v>2007</v>
      </c>
    </row>
    <row r="44" spans="1:16" x14ac:dyDescent="0.25">
      <c r="A44" s="1" t="s">
        <v>83</v>
      </c>
      <c r="B44" s="31">
        <v>50.3</v>
      </c>
      <c r="C44" s="1" t="s">
        <v>20</v>
      </c>
      <c r="D44" s="2">
        <v>42795</v>
      </c>
      <c r="E44" s="2">
        <v>42795</v>
      </c>
      <c r="F44" s="17">
        <v>1080000</v>
      </c>
      <c r="G44" s="17">
        <v>21471.17</v>
      </c>
      <c r="H44" s="31">
        <v>1</v>
      </c>
      <c r="I44" s="1" t="s">
        <v>21</v>
      </c>
      <c r="J44" s="1" t="s">
        <v>32</v>
      </c>
      <c r="K44" s="1" t="s">
        <v>78</v>
      </c>
      <c r="L44" s="1" t="s">
        <v>76</v>
      </c>
      <c r="M44" s="1" t="s">
        <v>92</v>
      </c>
      <c r="N44" s="31">
        <v>5</v>
      </c>
      <c r="O44" s="31">
        <v>2</v>
      </c>
      <c r="P44" s="32">
        <v>2007</v>
      </c>
    </row>
    <row r="45" spans="1:16" x14ac:dyDescent="0.25">
      <c r="A45" s="1" t="s">
        <v>93</v>
      </c>
      <c r="B45" s="31">
        <v>33.799999999999997</v>
      </c>
      <c r="C45" s="1" t="s">
        <v>20</v>
      </c>
      <c r="D45" s="2">
        <v>42795</v>
      </c>
      <c r="E45" s="2">
        <v>42795</v>
      </c>
      <c r="F45" s="17">
        <v>736000</v>
      </c>
      <c r="G45" s="17">
        <v>21775.15</v>
      </c>
      <c r="H45" s="31">
        <v>1</v>
      </c>
      <c r="I45" s="1" t="s">
        <v>21</v>
      </c>
      <c r="J45" s="1" t="s">
        <v>32</v>
      </c>
      <c r="K45" s="1" t="s">
        <v>78</v>
      </c>
      <c r="L45" s="1" t="s">
        <v>76</v>
      </c>
      <c r="M45" s="1"/>
      <c r="N45" s="31">
        <v>4</v>
      </c>
      <c r="O45" s="31">
        <v>1</v>
      </c>
      <c r="P45" s="32">
        <v>2007</v>
      </c>
    </row>
    <row r="46" spans="1:16" x14ac:dyDescent="0.25">
      <c r="A46" s="1" t="s">
        <v>89</v>
      </c>
      <c r="B46" s="31">
        <v>20.8</v>
      </c>
      <c r="C46" s="1" t="s">
        <v>20</v>
      </c>
      <c r="D46" s="2">
        <v>42705</v>
      </c>
      <c r="E46" s="2">
        <v>42705</v>
      </c>
      <c r="F46" s="17">
        <v>453026</v>
      </c>
      <c r="G46" s="17">
        <v>21780.1</v>
      </c>
      <c r="H46" s="31">
        <v>1</v>
      </c>
      <c r="I46" s="1" t="s">
        <v>21</v>
      </c>
      <c r="J46" s="1" t="s">
        <v>32</v>
      </c>
      <c r="K46" s="1" t="s">
        <v>78</v>
      </c>
      <c r="L46" s="1" t="s">
        <v>76</v>
      </c>
      <c r="M46" s="1"/>
      <c r="N46" s="31">
        <v>3</v>
      </c>
      <c r="O46" s="31">
        <v>1</v>
      </c>
      <c r="P46" s="32">
        <v>2015</v>
      </c>
    </row>
    <row r="47" spans="1:16" x14ac:dyDescent="0.25">
      <c r="A47" s="1" t="s">
        <v>80</v>
      </c>
      <c r="B47" s="31">
        <v>45.3</v>
      </c>
      <c r="C47" s="1" t="s">
        <v>20</v>
      </c>
      <c r="D47" s="2">
        <v>42614</v>
      </c>
      <c r="E47" s="2">
        <v>42644</v>
      </c>
      <c r="F47" s="17">
        <v>995250</v>
      </c>
      <c r="G47" s="17">
        <v>21970.2</v>
      </c>
      <c r="H47" s="31">
        <v>1</v>
      </c>
      <c r="I47" s="1" t="s">
        <v>21</v>
      </c>
      <c r="J47" s="1" t="s">
        <v>32</v>
      </c>
      <c r="K47" s="1" t="s">
        <v>78</v>
      </c>
      <c r="L47" s="1" t="s">
        <v>76</v>
      </c>
      <c r="M47" s="1" t="s">
        <v>81</v>
      </c>
      <c r="N47" s="31">
        <v>1</v>
      </c>
      <c r="O47" s="31">
        <v>1</v>
      </c>
      <c r="P47" s="32">
        <v>2014</v>
      </c>
    </row>
    <row r="48" spans="1:16" x14ac:dyDescent="0.25">
      <c r="A48" s="1" t="s">
        <v>107</v>
      </c>
      <c r="B48" s="31">
        <v>40.9</v>
      </c>
      <c r="C48" s="1" t="s">
        <v>20</v>
      </c>
      <c r="D48" s="2">
        <v>42736</v>
      </c>
      <c r="E48" s="2">
        <v>42736</v>
      </c>
      <c r="F48" s="17">
        <v>900000</v>
      </c>
      <c r="G48" s="17">
        <v>22004.89</v>
      </c>
      <c r="H48" s="31">
        <v>1</v>
      </c>
      <c r="I48" s="1" t="s">
        <v>21</v>
      </c>
      <c r="J48" s="1" t="s">
        <v>32</v>
      </c>
      <c r="K48" s="1" t="s">
        <v>78</v>
      </c>
      <c r="L48" s="1" t="s">
        <v>76</v>
      </c>
      <c r="M48" s="1" t="s">
        <v>108</v>
      </c>
      <c r="N48" s="31">
        <v>2</v>
      </c>
      <c r="O48" s="31">
        <v>1</v>
      </c>
      <c r="P48" s="32">
        <v>2005</v>
      </c>
    </row>
    <row r="49" spans="1:16" x14ac:dyDescent="0.25">
      <c r="A49" s="1" t="s">
        <v>89</v>
      </c>
      <c r="B49" s="31">
        <v>20.9</v>
      </c>
      <c r="C49" s="1" t="s">
        <v>20</v>
      </c>
      <c r="D49" s="2">
        <v>42736</v>
      </c>
      <c r="E49" s="2">
        <v>42736</v>
      </c>
      <c r="F49" s="17">
        <v>471960</v>
      </c>
      <c r="G49" s="17">
        <v>22581.82</v>
      </c>
      <c r="H49" s="31">
        <v>1</v>
      </c>
      <c r="I49" s="1" t="s">
        <v>21</v>
      </c>
      <c r="J49" s="1" t="s">
        <v>32</v>
      </c>
      <c r="K49" s="1" t="s">
        <v>78</v>
      </c>
      <c r="L49" s="1" t="s">
        <v>76</v>
      </c>
      <c r="M49" s="1"/>
      <c r="N49" s="31">
        <v>2</v>
      </c>
      <c r="O49" s="31">
        <v>1</v>
      </c>
      <c r="P49" s="32">
        <v>2015</v>
      </c>
    </row>
    <row r="50" spans="1:16" x14ac:dyDescent="0.25">
      <c r="A50" s="1" t="s">
        <v>87</v>
      </c>
      <c r="B50" s="31">
        <v>45.2</v>
      </c>
      <c r="C50" s="1" t="s">
        <v>20</v>
      </c>
      <c r="D50" s="2">
        <v>42767</v>
      </c>
      <c r="E50" s="2">
        <v>42795</v>
      </c>
      <c r="F50" s="17">
        <v>1040000</v>
      </c>
      <c r="G50" s="17">
        <v>23008.85</v>
      </c>
      <c r="H50" s="31">
        <v>1</v>
      </c>
      <c r="I50" s="1" t="s">
        <v>21</v>
      </c>
      <c r="J50" s="1" t="s">
        <v>32</v>
      </c>
      <c r="K50" s="1" t="s">
        <v>78</v>
      </c>
      <c r="L50" s="1" t="s">
        <v>76</v>
      </c>
      <c r="M50" s="1"/>
      <c r="N50" s="31">
        <v>1</v>
      </c>
      <c r="O50" s="31">
        <v>2</v>
      </c>
      <c r="P50" s="32">
        <v>2001</v>
      </c>
    </row>
    <row r="51" spans="1:16" x14ac:dyDescent="0.25">
      <c r="A51" s="1" t="s">
        <v>87</v>
      </c>
      <c r="B51" s="31">
        <v>45.2</v>
      </c>
      <c r="C51" s="1" t="s">
        <v>20</v>
      </c>
      <c r="D51" s="2">
        <v>42767</v>
      </c>
      <c r="E51" s="2">
        <v>42795</v>
      </c>
      <c r="F51" s="17">
        <v>1040000</v>
      </c>
      <c r="G51" s="17">
        <v>23008.85</v>
      </c>
      <c r="H51" s="31">
        <v>1</v>
      </c>
      <c r="I51" s="1" t="s">
        <v>21</v>
      </c>
      <c r="J51" s="1" t="s">
        <v>32</v>
      </c>
      <c r="K51" s="1" t="s">
        <v>78</v>
      </c>
      <c r="L51" s="1" t="s">
        <v>76</v>
      </c>
      <c r="M51" s="1"/>
      <c r="N51" s="31">
        <v>1</v>
      </c>
      <c r="O51" s="31">
        <v>2</v>
      </c>
      <c r="P51" s="32">
        <v>2001</v>
      </c>
    </row>
    <row r="52" spans="1:16" x14ac:dyDescent="0.25">
      <c r="A52" s="1" t="s">
        <v>103</v>
      </c>
      <c r="B52" s="31">
        <v>35.6</v>
      </c>
      <c r="C52" s="1" t="s">
        <v>20</v>
      </c>
      <c r="D52" s="2">
        <v>42795</v>
      </c>
      <c r="E52" s="2">
        <v>42795</v>
      </c>
      <c r="F52" s="17">
        <v>824000</v>
      </c>
      <c r="G52" s="17">
        <v>23146.07</v>
      </c>
      <c r="H52" s="31">
        <v>1</v>
      </c>
      <c r="I52" s="1" t="s">
        <v>21</v>
      </c>
      <c r="J52" s="1" t="s">
        <v>32</v>
      </c>
      <c r="K52" s="1" t="s">
        <v>78</v>
      </c>
      <c r="L52" s="1" t="s">
        <v>76</v>
      </c>
      <c r="M52" s="1" t="s">
        <v>94</v>
      </c>
      <c r="N52" s="31">
        <v>2</v>
      </c>
      <c r="O52" s="31">
        <v>1</v>
      </c>
      <c r="P52" s="32">
        <v>2008</v>
      </c>
    </row>
    <row r="53" spans="1:16" x14ac:dyDescent="0.25">
      <c r="A53" s="1" t="s">
        <v>83</v>
      </c>
      <c r="B53" s="31">
        <v>44.3</v>
      </c>
      <c r="C53" s="1" t="s">
        <v>20</v>
      </c>
      <c r="D53" s="2">
        <v>42644</v>
      </c>
      <c r="E53" s="2">
        <v>42644</v>
      </c>
      <c r="F53" s="17">
        <v>1040000</v>
      </c>
      <c r="G53" s="17">
        <v>23476.3</v>
      </c>
      <c r="H53" s="31">
        <v>1</v>
      </c>
      <c r="I53" s="1" t="s">
        <v>21</v>
      </c>
      <c r="J53" s="1" t="s">
        <v>32</v>
      </c>
      <c r="K53" s="1" t="s">
        <v>78</v>
      </c>
      <c r="L53" s="1" t="s">
        <v>76</v>
      </c>
      <c r="M53" s="1"/>
      <c r="N53" s="31">
        <v>5</v>
      </c>
      <c r="O53" s="31">
        <v>1</v>
      </c>
      <c r="P53" s="32">
        <v>2001</v>
      </c>
    </row>
    <row r="54" spans="1:16" x14ac:dyDescent="0.25">
      <c r="A54" s="1" t="s">
        <v>83</v>
      </c>
      <c r="B54" s="31">
        <v>44.6</v>
      </c>
      <c r="C54" s="1" t="s">
        <v>20</v>
      </c>
      <c r="D54" s="2">
        <v>42767</v>
      </c>
      <c r="E54" s="2">
        <v>42767</v>
      </c>
      <c r="F54" s="17">
        <v>1050000</v>
      </c>
      <c r="G54" s="17">
        <v>23542.6</v>
      </c>
      <c r="H54" s="31">
        <v>1</v>
      </c>
      <c r="I54" s="1" t="s">
        <v>21</v>
      </c>
      <c r="J54" s="1" t="s">
        <v>32</v>
      </c>
      <c r="K54" s="1" t="s">
        <v>78</v>
      </c>
      <c r="L54" s="1" t="s">
        <v>76</v>
      </c>
      <c r="M54" s="1"/>
      <c r="N54" s="31">
        <v>2</v>
      </c>
      <c r="O54" s="31">
        <v>1</v>
      </c>
      <c r="P54" s="32">
        <v>2001</v>
      </c>
    </row>
    <row r="55" spans="1:16" x14ac:dyDescent="0.25">
      <c r="A55" s="1" t="s">
        <v>77</v>
      </c>
      <c r="B55" s="31">
        <v>29.7</v>
      </c>
      <c r="C55" s="1" t="s">
        <v>20</v>
      </c>
      <c r="D55" s="2">
        <v>42644</v>
      </c>
      <c r="E55" s="2">
        <v>42644</v>
      </c>
      <c r="F55" s="17">
        <v>700000</v>
      </c>
      <c r="G55" s="17">
        <v>23569.02</v>
      </c>
      <c r="H55" s="31">
        <v>1</v>
      </c>
      <c r="I55" s="1" t="s">
        <v>21</v>
      </c>
      <c r="J55" s="1" t="s">
        <v>32</v>
      </c>
      <c r="K55" s="1" t="s">
        <v>78</v>
      </c>
      <c r="L55" s="1" t="s">
        <v>76</v>
      </c>
      <c r="M55" s="1" t="s">
        <v>79</v>
      </c>
      <c r="N55" s="31">
        <v>3</v>
      </c>
      <c r="O55" s="31">
        <v>1</v>
      </c>
      <c r="P55" s="32">
        <v>2002</v>
      </c>
    </row>
    <row r="56" spans="1:16" x14ac:dyDescent="0.25">
      <c r="A56" s="1" t="s">
        <v>99</v>
      </c>
      <c r="B56" s="31">
        <v>43.6</v>
      </c>
      <c r="C56" s="1" t="s">
        <v>20</v>
      </c>
      <c r="D56" s="2">
        <v>42675</v>
      </c>
      <c r="E56" s="2">
        <v>42675</v>
      </c>
      <c r="F56" s="17">
        <v>1040000</v>
      </c>
      <c r="G56" s="17">
        <v>23853.21</v>
      </c>
      <c r="H56" s="31">
        <v>1</v>
      </c>
      <c r="I56" s="1" t="s">
        <v>21</v>
      </c>
      <c r="J56" s="1" t="s">
        <v>32</v>
      </c>
      <c r="K56" s="1" t="s">
        <v>78</v>
      </c>
      <c r="L56" s="1" t="s">
        <v>76</v>
      </c>
      <c r="M56" s="1" t="s">
        <v>92</v>
      </c>
      <c r="N56" s="31">
        <v>2</v>
      </c>
      <c r="O56" s="31">
        <v>1</v>
      </c>
      <c r="P56" s="32">
        <v>2010</v>
      </c>
    </row>
    <row r="57" spans="1:16" x14ac:dyDescent="0.25">
      <c r="A57" s="1" t="s">
        <v>110</v>
      </c>
      <c r="B57" s="31">
        <v>46</v>
      </c>
      <c r="C57" s="1" t="s">
        <v>20</v>
      </c>
      <c r="D57" s="2">
        <v>42795</v>
      </c>
      <c r="E57" s="2">
        <v>42795</v>
      </c>
      <c r="F57" s="17">
        <v>1100000</v>
      </c>
      <c r="G57" s="17">
        <v>23913.040000000001</v>
      </c>
      <c r="H57" s="31">
        <v>1</v>
      </c>
      <c r="I57" s="1" t="s">
        <v>21</v>
      </c>
      <c r="J57" s="1" t="s">
        <v>32</v>
      </c>
      <c r="K57" s="1" t="s">
        <v>78</v>
      </c>
      <c r="L57" s="1" t="s">
        <v>76</v>
      </c>
      <c r="M57" s="1" t="s">
        <v>109</v>
      </c>
      <c r="N57" s="31">
        <v>1</v>
      </c>
      <c r="O57" s="31">
        <v>1</v>
      </c>
      <c r="P57" s="32">
        <v>2003</v>
      </c>
    </row>
    <row r="58" spans="1:16" x14ac:dyDescent="0.25">
      <c r="A58" s="1" t="s">
        <v>103</v>
      </c>
      <c r="B58" s="31">
        <v>28.2</v>
      </c>
      <c r="C58" s="1" t="s">
        <v>20</v>
      </c>
      <c r="D58" s="2">
        <v>42767</v>
      </c>
      <c r="E58" s="2">
        <v>42767</v>
      </c>
      <c r="F58" s="17">
        <v>680000</v>
      </c>
      <c r="G58" s="17">
        <v>24113.48</v>
      </c>
      <c r="H58" s="31">
        <v>1</v>
      </c>
      <c r="I58" s="1" t="s">
        <v>21</v>
      </c>
      <c r="J58" s="1" t="s">
        <v>32</v>
      </c>
      <c r="K58" s="1" t="s">
        <v>78</v>
      </c>
      <c r="L58" s="1" t="s">
        <v>76</v>
      </c>
      <c r="M58" s="1"/>
      <c r="N58" s="31">
        <v>4</v>
      </c>
      <c r="O58" s="31">
        <v>1</v>
      </c>
      <c r="P58" s="32">
        <v>2004</v>
      </c>
    </row>
    <row r="59" spans="1:16" x14ac:dyDescent="0.25">
      <c r="A59" s="1" t="s">
        <v>77</v>
      </c>
      <c r="B59" s="31">
        <v>59.4</v>
      </c>
      <c r="C59" s="1" t="s">
        <v>20</v>
      </c>
      <c r="D59" s="2">
        <v>42736</v>
      </c>
      <c r="E59" s="2">
        <v>42736</v>
      </c>
      <c r="F59" s="17">
        <v>1448000</v>
      </c>
      <c r="G59" s="17">
        <v>24377.1</v>
      </c>
      <c r="H59" s="31">
        <v>1</v>
      </c>
      <c r="I59" s="1" t="s">
        <v>21</v>
      </c>
      <c r="J59" s="1" t="s">
        <v>32</v>
      </c>
      <c r="K59" s="1" t="s">
        <v>78</v>
      </c>
      <c r="L59" s="1" t="s">
        <v>76</v>
      </c>
      <c r="M59" s="1" t="s">
        <v>79</v>
      </c>
      <c r="N59" s="31">
        <v>5</v>
      </c>
      <c r="O59" s="31">
        <v>1</v>
      </c>
      <c r="P59" s="32">
        <v>1999</v>
      </c>
    </row>
    <row r="60" spans="1:16" x14ac:dyDescent="0.25">
      <c r="A60" s="1" t="s">
        <v>103</v>
      </c>
      <c r="B60" s="31">
        <v>49.2</v>
      </c>
      <c r="C60" s="1" t="s">
        <v>20</v>
      </c>
      <c r="D60" s="2">
        <v>42736</v>
      </c>
      <c r="E60" s="2">
        <v>42736</v>
      </c>
      <c r="F60" s="17">
        <v>1200000</v>
      </c>
      <c r="G60" s="17">
        <v>24390.240000000002</v>
      </c>
      <c r="H60" s="31">
        <v>1</v>
      </c>
      <c r="I60" s="1" t="s">
        <v>21</v>
      </c>
      <c r="J60" s="1" t="s">
        <v>32</v>
      </c>
      <c r="K60" s="1" t="s">
        <v>78</v>
      </c>
      <c r="L60" s="1" t="s">
        <v>76</v>
      </c>
      <c r="M60" s="1" t="s">
        <v>94</v>
      </c>
      <c r="N60" s="31">
        <v>1</v>
      </c>
      <c r="O60" s="31">
        <v>1</v>
      </c>
      <c r="P60" s="32">
        <v>1999</v>
      </c>
    </row>
    <row r="61" spans="1:16" x14ac:dyDescent="0.25">
      <c r="A61" s="1" t="s">
        <v>100</v>
      </c>
      <c r="B61" s="31">
        <v>42.4</v>
      </c>
      <c r="C61" s="1" t="s">
        <v>20</v>
      </c>
      <c r="D61" s="2">
        <v>42795</v>
      </c>
      <c r="E61" s="2">
        <v>42795</v>
      </c>
      <c r="F61" s="17">
        <v>1040000</v>
      </c>
      <c r="G61" s="17">
        <v>24528.3</v>
      </c>
      <c r="H61" s="31">
        <v>1</v>
      </c>
      <c r="I61" s="1" t="s">
        <v>21</v>
      </c>
      <c r="J61" s="1" t="s">
        <v>32</v>
      </c>
      <c r="K61" s="1" t="s">
        <v>78</v>
      </c>
      <c r="L61" s="1" t="s">
        <v>76</v>
      </c>
      <c r="M61" s="1" t="s">
        <v>79</v>
      </c>
      <c r="N61" s="31">
        <v>3</v>
      </c>
      <c r="O61" s="31">
        <v>1</v>
      </c>
      <c r="P61" s="32">
        <v>2008</v>
      </c>
    </row>
    <row r="62" spans="1:16" x14ac:dyDescent="0.25">
      <c r="A62" s="1" t="s">
        <v>103</v>
      </c>
      <c r="B62" s="31">
        <v>43.1</v>
      </c>
      <c r="C62" s="1" t="s">
        <v>20</v>
      </c>
      <c r="D62" s="2">
        <v>42736</v>
      </c>
      <c r="E62" s="2">
        <v>42736</v>
      </c>
      <c r="F62" s="17">
        <v>1080000</v>
      </c>
      <c r="G62" s="17">
        <v>25058</v>
      </c>
      <c r="H62" s="31">
        <v>1</v>
      </c>
      <c r="I62" s="1" t="s">
        <v>21</v>
      </c>
      <c r="J62" s="1" t="s">
        <v>32</v>
      </c>
      <c r="K62" s="1" t="s">
        <v>78</v>
      </c>
      <c r="L62" s="1" t="s">
        <v>76</v>
      </c>
      <c r="M62" s="1" t="s">
        <v>94</v>
      </c>
      <c r="N62" s="31">
        <v>1</v>
      </c>
      <c r="O62" s="31">
        <v>1</v>
      </c>
      <c r="P62" s="32">
        <v>2011</v>
      </c>
    </row>
    <row r="63" spans="1:16" x14ac:dyDescent="0.25">
      <c r="A63" s="1" t="s">
        <v>83</v>
      </c>
      <c r="B63" s="31">
        <v>41.9</v>
      </c>
      <c r="C63" s="1" t="s">
        <v>20</v>
      </c>
      <c r="D63" s="2">
        <v>42675</v>
      </c>
      <c r="E63" s="2">
        <v>42675</v>
      </c>
      <c r="F63" s="17">
        <v>1064000</v>
      </c>
      <c r="G63" s="17">
        <v>25393.79</v>
      </c>
      <c r="H63" s="31">
        <v>1</v>
      </c>
      <c r="I63" s="1" t="s">
        <v>21</v>
      </c>
      <c r="J63" s="1" t="s">
        <v>32</v>
      </c>
      <c r="K63" s="1" t="s">
        <v>78</v>
      </c>
      <c r="L63" s="1" t="s">
        <v>76</v>
      </c>
      <c r="M63" s="1"/>
      <c r="N63" s="31">
        <v>4</v>
      </c>
      <c r="O63" s="31">
        <v>1</v>
      </c>
      <c r="P63" s="32">
        <v>2005</v>
      </c>
    </row>
    <row r="64" spans="1:16" x14ac:dyDescent="0.25">
      <c r="A64" s="1" t="s">
        <v>95</v>
      </c>
      <c r="B64" s="31">
        <v>36.1</v>
      </c>
      <c r="C64" s="1" t="s">
        <v>20</v>
      </c>
      <c r="D64" s="2">
        <v>42795</v>
      </c>
      <c r="E64" s="2">
        <v>42795</v>
      </c>
      <c r="F64" s="17">
        <v>920000</v>
      </c>
      <c r="G64" s="17">
        <v>25484.76</v>
      </c>
      <c r="H64" s="31">
        <v>1</v>
      </c>
      <c r="I64" s="1" t="s">
        <v>21</v>
      </c>
      <c r="J64" s="1" t="s">
        <v>32</v>
      </c>
      <c r="K64" s="1" t="s">
        <v>78</v>
      </c>
      <c r="L64" s="1" t="s">
        <v>76</v>
      </c>
      <c r="M64" s="1"/>
      <c r="N64" s="31">
        <v>3</v>
      </c>
      <c r="O64" s="31">
        <v>1</v>
      </c>
      <c r="P64" s="32">
        <v>2004</v>
      </c>
    </row>
    <row r="65" spans="1:16" x14ac:dyDescent="0.25">
      <c r="A65" s="1" t="s">
        <v>95</v>
      </c>
      <c r="B65" s="31">
        <v>75.900000000000006</v>
      </c>
      <c r="C65" s="1" t="s">
        <v>20</v>
      </c>
      <c r="D65" s="2">
        <v>42767</v>
      </c>
      <c r="E65" s="2">
        <v>42767</v>
      </c>
      <c r="F65" s="17">
        <v>1950000</v>
      </c>
      <c r="G65" s="17">
        <v>25691.7</v>
      </c>
      <c r="H65" s="31">
        <v>1</v>
      </c>
      <c r="I65" s="1" t="s">
        <v>21</v>
      </c>
      <c r="J65" s="1" t="s">
        <v>32</v>
      </c>
      <c r="K65" s="1" t="s">
        <v>78</v>
      </c>
      <c r="L65" s="1" t="s">
        <v>76</v>
      </c>
      <c r="M65" s="1" t="s">
        <v>96</v>
      </c>
      <c r="N65" s="31">
        <v>2</v>
      </c>
      <c r="O65" s="31">
        <v>1</v>
      </c>
      <c r="P65" s="32">
        <v>2002</v>
      </c>
    </row>
    <row r="66" spans="1:16" x14ac:dyDescent="0.25">
      <c r="A66" s="1" t="s">
        <v>87</v>
      </c>
      <c r="B66" s="31">
        <v>37.200000000000003</v>
      </c>
      <c r="C66" s="1" t="s">
        <v>20</v>
      </c>
      <c r="D66" s="2">
        <v>42767</v>
      </c>
      <c r="E66" s="2">
        <v>42767</v>
      </c>
      <c r="F66" s="17">
        <v>960000</v>
      </c>
      <c r="G66" s="17">
        <v>25806.45</v>
      </c>
      <c r="H66" s="31">
        <v>1</v>
      </c>
      <c r="I66" s="1" t="s">
        <v>21</v>
      </c>
      <c r="J66" s="1" t="s">
        <v>32</v>
      </c>
      <c r="K66" s="1" t="s">
        <v>78</v>
      </c>
      <c r="L66" s="1" t="s">
        <v>76</v>
      </c>
      <c r="M66" s="1" t="s">
        <v>94</v>
      </c>
      <c r="N66" s="31">
        <v>3</v>
      </c>
      <c r="O66" s="31">
        <v>2</v>
      </c>
      <c r="P66" s="32">
        <v>2007</v>
      </c>
    </row>
    <row r="67" spans="1:16" x14ac:dyDescent="0.25">
      <c r="A67" s="1" t="s">
        <v>87</v>
      </c>
      <c r="B67" s="31">
        <v>37.200000000000003</v>
      </c>
      <c r="C67" s="1" t="s">
        <v>20</v>
      </c>
      <c r="D67" s="2">
        <v>42767</v>
      </c>
      <c r="E67" s="2">
        <v>42767</v>
      </c>
      <c r="F67" s="17">
        <v>960000</v>
      </c>
      <c r="G67" s="17">
        <v>25806.45</v>
      </c>
      <c r="H67" s="31">
        <v>1</v>
      </c>
      <c r="I67" s="1" t="s">
        <v>21</v>
      </c>
      <c r="J67" s="1" t="s">
        <v>32</v>
      </c>
      <c r="K67" s="1" t="s">
        <v>78</v>
      </c>
      <c r="L67" s="1" t="s">
        <v>76</v>
      </c>
      <c r="M67" s="1" t="s">
        <v>94</v>
      </c>
      <c r="N67" s="31">
        <v>3</v>
      </c>
      <c r="O67" s="31">
        <v>2</v>
      </c>
      <c r="P67" s="32">
        <v>2007</v>
      </c>
    </row>
    <row r="68" spans="1:16" x14ac:dyDescent="0.25">
      <c r="A68" s="1" t="s">
        <v>87</v>
      </c>
      <c r="B68" s="31">
        <v>58.6</v>
      </c>
      <c r="C68" s="1" t="s">
        <v>20</v>
      </c>
      <c r="D68" s="2">
        <v>42644</v>
      </c>
      <c r="E68" s="2">
        <v>42675</v>
      </c>
      <c r="F68" s="17">
        <v>1520000</v>
      </c>
      <c r="G68" s="17">
        <v>25938.57</v>
      </c>
      <c r="H68" s="31">
        <v>1</v>
      </c>
      <c r="I68" s="1" t="s">
        <v>21</v>
      </c>
      <c r="J68" s="1" t="s">
        <v>32</v>
      </c>
      <c r="K68" s="1" t="s">
        <v>78</v>
      </c>
      <c r="L68" s="1" t="s">
        <v>76</v>
      </c>
      <c r="M68" s="1"/>
      <c r="N68" s="31">
        <v>1</v>
      </c>
      <c r="O68" s="31">
        <v>1</v>
      </c>
      <c r="P68" s="32">
        <v>1999</v>
      </c>
    </row>
    <row r="69" spans="1:16" x14ac:dyDescent="0.25">
      <c r="A69" s="1" t="s">
        <v>82</v>
      </c>
      <c r="B69" s="31">
        <v>38.4</v>
      </c>
      <c r="C69" s="1" t="s">
        <v>20</v>
      </c>
      <c r="D69" s="2">
        <v>42644</v>
      </c>
      <c r="E69" s="2">
        <v>42644</v>
      </c>
      <c r="F69" s="17">
        <v>1000000</v>
      </c>
      <c r="G69" s="17">
        <v>26041.67</v>
      </c>
      <c r="H69" s="31">
        <v>1</v>
      </c>
      <c r="I69" s="1" t="s">
        <v>21</v>
      </c>
      <c r="J69" s="1" t="s">
        <v>32</v>
      </c>
      <c r="K69" s="1" t="s">
        <v>78</v>
      </c>
      <c r="L69" s="1" t="s">
        <v>76</v>
      </c>
      <c r="M69" s="1"/>
      <c r="N69" s="31">
        <v>4</v>
      </c>
      <c r="O69" s="31">
        <v>1</v>
      </c>
      <c r="P69" s="32">
        <v>2000</v>
      </c>
    </row>
    <row r="70" spans="1:16" x14ac:dyDescent="0.25">
      <c r="A70" s="1" t="s">
        <v>93</v>
      </c>
      <c r="B70" s="31">
        <v>47.8</v>
      </c>
      <c r="C70" s="1" t="s">
        <v>20</v>
      </c>
      <c r="D70" s="2">
        <v>42736</v>
      </c>
      <c r="E70" s="2">
        <v>42736</v>
      </c>
      <c r="F70" s="17">
        <v>1250000</v>
      </c>
      <c r="G70" s="17">
        <v>26150.63</v>
      </c>
      <c r="H70" s="31">
        <v>1</v>
      </c>
      <c r="I70" s="1" t="s">
        <v>21</v>
      </c>
      <c r="J70" s="1" t="s">
        <v>32</v>
      </c>
      <c r="K70" s="1" t="s">
        <v>78</v>
      </c>
      <c r="L70" s="1" t="s">
        <v>76</v>
      </c>
      <c r="M70" s="1"/>
      <c r="N70" s="31">
        <v>4</v>
      </c>
      <c r="O70" s="31">
        <v>1</v>
      </c>
      <c r="P70" s="32">
        <v>2011</v>
      </c>
    </row>
    <row r="71" spans="1:16" x14ac:dyDescent="0.25">
      <c r="A71" s="1" t="s">
        <v>82</v>
      </c>
      <c r="B71" s="31">
        <v>41.2</v>
      </c>
      <c r="C71" s="1" t="s">
        <v>20</v>
      </c>
      <c r="D71" s="2">
        <v>42644</v>
      </c>
      <c r="E71" s="2">
        <v>42675</v>
      </c>
      <c r="F71" s="17">
        <v>1080000</v>
      </c>
      <c r="G71" s="17">
        <v>26213.59</v>
      </c>
      <c r="H71" s="31">
        <v>1</v>
      </c>
      <c r="I71" s="1" t="s">
        <v>21</v>
      </c>
      <c r="J71" s="1" t="s">
        <v>32</v>
      </c>
      <c r="K71" s="1" t="s">
        <v>78</v>
      </c>
      <c r="L71" s="1" t="s">
        <v>76</v>
      </c>
      <c r="M71" s="1"/>
      <c r="N71" s="31">
        <v>3</v>
      </c>
      <c r="O71" s="31">
        <v>1</v>
      </c>
      <c r="P71" s="32">
        <v>2013</v>
      </c>
    </row>
    <row r="72" spans="1:16" x14ac:dyDescent="0.25">
      <c r="A72" s="1" t="s">
        <v>83</v>
      </c>
      <c r="B72" s="31">
        <v>61.3</v>
      </c>
      <c r="C72" s="1" t="s">
        <v>20</v>
      </c>
      <c r="D72" s="2">
        <v>42644</v>
      </c>
      <c r="E72" s="2">
        <v>42644</v>
      </c>
      <c r="F72" s="17">
        <v>1636512</v>
      </c>
      <c r="G72" s="17">
        <v>26696.77</v>
      </c>
      <c r="H72" s="31">
        <v>1</v>
      </c>
      <c r="I72" s="1" t="s">
        <v>21</v>
      </c>
      <c r="J72" s="1" t="s">
        <v>64</v>
      </c>
      <c r="K72" s="1" t="s">
        <v>78</v>
      </c>
      <c r="L72" s="1" t="s">
        <v>76</v>
      </c>
      <c r="M72" s="1"/>
      <c r="N72" s="31">
        <v>1</v>
      </c>
      <c r="O72" s="31">
        <v>1</v>
      </c>
      <c r="P72" s="32">
        <v>2014</v>
      </c>
    </row>
    <row r="73" spans="1:16" x14ac:dyDescent="0.25">
      <c r="A73" s="1" t="s">
        <v>77</v>
      </c>
      <c r="B73" s="31">
        <v>42.9</v>
      </c>
      <c r="C73" s="1" t="s">
        <v>20</v>
      </c>
      <c r="D73" s="2">
        <v>42705</v>
      </c>
      <c r="E73" s="2">
        <v>42705</v>
      </c>
      <c r="F73" s="17">
        <v>1150000</v>
      </c>
      <c r="G73" s="17">
        <v>26806.53</v>
      </c>
      <c r="H73" s="31">
        <v>1</v>
      </c>
      <c r="I73" s="1" t="s">
        <v>21</v>
      </c>
      <c r="J73" s="1" t="s">
        <v>32</v>
      </c>
      <c r="K73" s="1" t="s">
        <v>78</v>
      </c>
      <c r="L73" s="1" t="s">
        <v>76</v>
      </c>
      <c r="M73" s="1" t="s">
        <v>92</v>
      </c>
      <c r="N73" s="31">
        <v>4</v>
      </c>
      <c r="O73" s="31">
        <v>1</v>
      </c>
      <c r="P73" s="32">
        <v>2010</v>
      </c>
    </row>
    <row r="74" spans="1:16" x14ac:dyDescent="0.25">
      <c r="A74" s="1" t="s">
        <v>97</v>
      </c>
      <c r="B74" s="31">
        <v>49.7</v>
      </c>
      <c r="C74" s="1" t="s">
        <v>20</v>
      </c>
      <c r="D74" s="2">
        <v>42736</v>
      </c>
      <c r="E74" s="2">
        <v>42736</v>
      </c>
      <c r="F74" s="17">
        <v>1360000</v>
      </c>
      <c r="G74" s="17">
        <v>27364.19</v>
      </c>
      <c r="H74" s="31">
        <v>1</v>
      </c>
      <c r="I74" s="1" t="s">
        <v>21</v>
      </c>
      <c r="J74" s="1" t="s">
        <v>32</v>
      </c>
      <c r="K74" s="1" t="s">
        <v>78</v>
      </c>
      <c r="L74" s="1" t="s">
        <v>76</v>
      </c>
      <c r="M74" s="1" t="s">
        <v>109</v>
      </c>
      <c r="N74" s="31">
        <v>5</v>
      </c>
      <c r="O74" s="31">
        <v>1</v>
      </c>
      <c r="P74" s="32">
        <v>2007</v>
      </c>
    </row>
    <row r="75" spans="1:16" x14ac:dyDescent="0.25">
      <c r="A75" s="1" t="s">
        <v>83</v>
      </c>
      <c r="B75" s="31">
        <v>45.3</v>
      </c>
      <c r="C75" s="1" t="s">
        <v>20</v>
      </c>
      <c r="D75" s="2">
        <v>42644</v>
      </c>
      <c r="E75" s="2">
        <v>42644</v>
      </c>
      <c r="F75" s="17">
        <v>1248000</v>
      </c>
      <c r="G75" s="17">
        <v>27549.67</v>
      </c>
      <c r="H75" s="31">
        <v>1</v>
      </c>
      <c r="I75" s="1" t="s">
        <v>21</v>
      </c>
      <c r="J75" s="1" t="s">
        <v>32</v>
      </c>
      <c r="K75" s="1" t="s">
        <v>78</v>
      </c>
      <c r="L75" s="1" t="s">
        <v>76</v>
      </c>
      <c r="M75" s="1"/>
      <c r="N75" s="31">
        <v>3</v>
      </c>
      <c r="O75" s="31">
        <v>1</v>
      </c>
      <c r="P75" s="32">
        <v>2012</v>
      </c>
    </row>
    <row r="76" spans="1:16" x14ac:dyDescent="0.25">
      <c r="A76" s="1" t="s">
        <v>97</v>
      </c>
      <c r="B76" s="31">
        <v>33.6</v>
      </c>
      <c r="C76" s="1" t="s">
        <v>20</v>
      </c>
      <c r="D76" s="2">
        <v>42705</v>
      </c>
      <c r="E76" s="2">
        <v>42705</v>
      </c>
      <c r="F76" s="17">
        <v>930000</v>
      </c>
      <c r="G76" s="17">
        <v>27678.57</v>
      </c>
      <c r="H76" s="31">
        <v>1</v>
      </c>
      <c r="I76" s="1" t="s">
        <v>21</v>
      </c>
      <c r="J76" s="1" t="s">
        <v>32</v>
      </c>
      <c r="K76" s="1" t="s">
        <v>78</v>
      </c>
      <c r="L76" s="1" t="s">
        <v>76</v>
      </c>
      <c r="M76" s="1" t="s">
        <v>98</v>
      </c>
      <c r="N76" s="31">
        <v>1</v>
      </c>
      <c r="O76" s="31">
        <v>1</v>
      </c>
      <c r="P76" s="32">
        <v>2001</v>
      </c>
    </row>
    <row r="77" spans="1:16" x14ac:dyDescent="0.25">
      <c r="A77" s="1" t="s">
        <v>87</v>
      </c>
      <c r="B77" s="31">
        <v>66.8</v>
      </c>
      <c r="C77" s="1" t="s">
        <v>20</v>
      </c>
      <c r="D77" s="2">
        <v>42705</v>
      </c>
      <c r="E77" s="2">
        <v>42705</v>
      </c>
      <c r="F77" s="17">
        <v>1884000</v>
      </c>
      <c r="G77" s="17">
        <v>28203.59</v>
      </c>
      <c r="H77" s="31">
        <v>1</v>
      </c>
      <c r="I77" s="1" t="s">
        <v>21</v>
      </c>
      <c r="J77" s="1" t="s">
        <v>32</v>
      </c>
      <c r="K77" s="1" t="s">
        <v>78</v>
      </c>
      <c r="L77" s="1" t="s">
        <v>76</v>
      </c>
      <c r="M77" s="1"/>
      <c r="N77" s="31">
        <v>1</v>
      </c>
      <c r="O77" s="31">
        <v>2</v>
      </c>
      <c r="P77" s="32">
        <v>2009</v>
      </c>
    </row>
    <row r="78" spans="1:16" x14ac:dyDescent="0.25">
      <c r="A78" s="1" t="s">
        <v>87</v>
      </c>
      <c r="B78" s="31">
        <v>66.8</v>
      </c>
      <c r="C78" s="1" t="s">
        <v>20</v>
      </c>
      <c r="D78" s="2">
        <v>42705</v>
      </c>
      <c r="E78" s="2">
        <v>42705</v>
      </c>
      <c r="F78" s="17">
        <v>1884000</v>
      </c>
      <c r="G78" s="17">
        <v>28203.59</v>
      </c>
      <c r="H78" s="31">
        <v>1</v>
      </c>
      <c r="I78" s="1" t="s">
        <v>21</v>
      </c>
      <c r="J78" s="1" t="s">
        <v>32</v>
      </c>
      <c r="K78" s="1" t="s">
        <v>78</v>
      </c>
      <c r="L78" s="1" t="s">
        <v>76</v>
      </c>
      <c r="M78" s="1"/>
      <c r="N78" s="31">
        <v>1</v>
      </c>
      <c r="O78" s="31">
        <v>2</v>
      </c>
      <c r="P78" s="32">
        <v>2009</v>
      </c>
    </row>
    <row r="79" spans="1:16" x14ac:dyDescent="0.25">
      <c r="A79" s="1" t="s">
        <v>103</v>
      </c>
      <c r="B79" s="31">
        <v>32.6</v>
      </c>
      <c r="C79" s="1" t="s">
        <v>20</v>
      </c>
      <c r="D79" s="2">
        <v>42705</v>
      </c>
      <c r="E79" s="2">
        <v>42705</v>
      </c>
      <c r="F79" s="17">
        <v>920000</v>
      </c>
      <c r="G79" s="17">
        <v>28220.86</v>
      </c>
      <c r="H79" s="31">
        <v>1</v>
      </c>
      <c r="I79" s="1" t="s">
        <v>21</v>
      </c>
      <c r="J79" s="1" t="s">
        <v>22</v>
      </c>
      <c r="K79" s="1" t="s">
        <v>78</v>
      </c>
      <c r="L79" s="1" t="s">
        <v>76</v>
      </c>
      <c r="M79" s="1"/>
      <c r="N79" s="31">
        <v>4</v>
      </c>
      <c r="O79" s="31">
        <v>2</v>
      </c>
      <c r="P79" s="32">
        <v>2016</v>
      </c>
    </row>
    <row r="80" spans="1:16" x14ac:dyDescent="0.25">
      <c r="A80" s="1" t="s">
        <v>103</v>
      </c>
      <c r="B80" s="31">
        <v>32.6</v>
      </c>
      <c r="C80" s="1" t="s">
        <v>20</v>
      </c>
      <c r="D80" s="2">
        <v>42705</v>
      </c>
      <c r="E80" s="2">
        <v>42705</v>
      </c>
      <c r="F80" s="17">
        <v>920000</v>
      </c>
      <c r="G80" s="17">
        <v>28220.86</v>
      </c>
      <c r="H80" s="31">
        <v>1</v>
      </c>
      <c r="I80" s="1" t="s">
        <v>21</v>
      </c>
      <c r="J80" s="1" t="s">
        <v>22</v>
      </c>
      <c r="K80" s="1" t="s">
        <v>78</v>
      </c>
      <c r="L80" s="1" t="s">
        <v>76</v>
      </c>
      <c r="M80" s="1"/>
      <c r="N80" s="31">
        <v>4</v>
      </c>
      <c r="O80" s="31">
        <v>2</v>
      </c>
      <c r="P80" s="32">
        <v>2016</v>
      </c>
    </row>
    <row r="81" spans="1:16" x14ac:dyDescent="0.25">
      <c r="A81" s="1" t="s">
        <v>103</v>
      </c>
      <c r="B81" s="31">
        <v>61.8</v>
      </c>
      <c r="C81" s="1" t="s">
        <v>20</v>
      </c>
      <c r="D81" s="2">
        <v>42795</v>
      </c>
      <c r="E81" s="2">
        <v>42795</v>
      </c>
      <c r="F81" s="17">
        <v>1769000</v>
      </c>
      <c r="G81" s="17">
        <v>28624.6</v>
      </c>
      <c r="H81" s="31">
        <v>1</v>
      </c>
      <c r="I81" s="1" t="s">
        <v>21</v>
      </c>
      <c r="J81" s="1" t="s">
        <v>22</v>
      </c>
      <c r="K81" s="1" t="s">
        <v>78</v>
      </c>
      <c r="L81" s="1" t="s">
        <v>76</v>
      </c>
      <c r="M81" s="1"/>
      <c r="N81" s="31">
        <v>4</v>
      </c>
      <c r="O81" s="31">
        <v>2</v>
      </c>
      <c r="P81" s="32">
        <v>2017</v>
      </c>
    </row>
    <row r="82" spans="1:16" x14ac:dyDescent="0.25">
      <c r="A82" s="1" t="s">
        <v>103</v>
      </c>
      <c r="B82" s="31">
        <v>61.8</v>
      </c>
      <c r="C82" s="1" t="s">
        <v>20</v>
      </c>
      <c r="D82" s="2">
        <v>42795</v>
      </c>
      <c r="E82" s="2">
        <v>42795</v>
      </c>
      <c r="F82" s="17">
        <v>1769000</v>
      </c>
      <c r="G82" s="17">
        <v>28624.6</v>
      </c>
      <c r="H82" s="31">
        <v>1</v>
      </c>
      <c r="I82" s="1" t="s">
        <v>21</v>
      </c>
      <c r="J82" s="1" t="s">
        <v>22</v>
      </c>
      <c r="K82" s="1" t="s">
        <v>78</v>
      </c>
      <c r="L82" s="1" t="s">
        <v>76</v>
      </c>
      <c r="M82" s="1"/>
      <c r="N82" s="31">
        <v>4</v>
      </c>
      <c r="O82" s="31">
        <v>2</v>
      </c>
      <c r="P82" s="32">
        <v>2017</v>
      </c>
    </row>
    <row r="83" spans="1:16" x14ac:dyDescent="0.25">
      <c r="A83" s="1" t="s">
        <v>102</v>
      </c>
      <c r="B83" s="31">
        <v>39.9</v>
      </c>
      <c r="C83" s="1" t="s">
        <v>20</v>
      </c>
      <c r="D83" s="2">
        <v>42705</v>
      </c>
      <c r="E83" s="2">
        <v>42705</v>
      </c>
      <c r="F83" s="17">
        <v>1146000</v>
      </c>
      <c r="G83" s="17">
        <v>28721.8</v>
      </c>
      <c r="H83" s="31">
        <v>1</v>
      </c>
      <c r="I83" s="1" t="s">
        <v>21</v>
      </c>
      <c r="J83" s="1" t="s">
        <v>22</v>
      </c>
      <c r="K83" s="1" t="s">
        <v>78</v>
      </c>
      <c r="L83" s="1" t="s">
        <v>76</v>
      </c>
      <c r="M83" s="1"/>
      <c r="N83" s="31">
        <v>2</v>
      </c>
      <c r="O83" s="31">
        <v>1</v>
      </c>
      <c r="P83" s="32">
        <v>2016</v>
      </c>
    </row>
    <row r="84" spans="1:16" x14ac:dyDescent="0.25">
      <c r="A84" s="1" t="s">
        <v>87</v>
      </c>
      <c r="B84" s="31">
        <v>32.700000000000003</v>
      </c>
      <c r="C84" s="1" t="s">
        <v>20</v>
      </c>
      <c r="D84" s="2">
        <v>42675</v>
      </c>
      <c r="E84" s="2">
        <v>42705</v>
      </c>
      <c r="F84" s="17">
        <v>944000</v>
      </c>
      <c r="G84" s="17">
        <v>28868.5</v>
      </c>
      <c r="H84" s="31">
        <v>1</v>
      </c>
      <c r="I84" s="1" t="s">
        <v>21</v>
      </c>
      <c r="J84" s="1" t="s">
        <v>32</v>
      </c>
      <c r="K84" s="1" t="s">
        <v>78</v>
      </c>
      <c r="L84" s="1" t="s">
        <v>76</v>
      </c>
      <c r="M84" s="1"/>
      <c r="N84" s="31">
        <v>3</v>
      </c>
      <c r="O84" s="31">
        <v>1</v>
      </c>
      <c r="P84" s="32">
        <v>2001</v>
      </c>
    </row>
    <row r="85" spans="1:16" x14ac:dyDescent="0.25">
      <c r="A85" s="1" t="s">
        <v>89</v>
      </c>
      <c r="B85" s="31">
        <v>27.1</v>
      </c>
      <c r="C85" s="1" t="s">
        <v>20</v>
      </c>
      <c r="D85" s="2">
        <v>42675</v>
      </c>
      <c r="E85" s="2">
        <v>42675</v>
      </c>
      <c r="F85" s="17">
        <v>799592</v>
      </c>
      <c r="G85" s="17">
        <v>29505.24</v>
      </c>
      <c r="H85" s="31">
        <v>1</v>
      </c>
      <c r="I85" s="1" t="s">
        <v>21</v>
      </c>
      <c r="J85" s="1" t="s">
        <v>32</v>
      </c>
      <c r="K85" s="1" t="s">
        <v>78</v>
      </c>
      <c r="L85" s="1" t="s">
        <v>76</v>
      </c>
      <c r="M85" s="1"/>
      <c r="N85" s="31">
        <v>2</v>
      </c>
      <c r="O85" s="31">
        <v>1</v>
      </c>
      <c r="P85" s="32">
        <v>2015</v>
      </c>
    </row>
    <row r="86" spans="1:16" x14ac:dyDescent="0.25">
      <c r="A86" s="1" t="s">
        <v>103</v>
      </c>
      <c r="B86" s="31">
        <v>59.6</v>
      </c>
      <c r="C86" s="1" t="s">
        <v>20</v>
      </c>
      <c r="D86" s="2">
        <v>42795</v>
      </c>
      <c r="E86" s="2">
        <v>42795</v>
      </c>
      <c r="F86" s="17">
        <v>1790000</v>
      </c>
      <c r="G86" s="17">
        <v>30033.56</v>
      </c>
      <c r="H86" s="31">
        <v>1</v>
      </c>
      <c r="I86" s="1" t="s">
        <v>21</v>
      </c>
      <c r="J86" s="1" t="s">
        <v>32</v>
      </c>
      <c r="K86" s="1" t="s">
        <v>78</v>
      </c>
      <c r="L86" s="1" t="s">
        <v>76</v>
      </c>
      <c r="M86" s="1"/>
      <c r="N86" s="31">
        <v>5</v>
      </c>
      <c r="O86" s="31">
        <v>2</v>
      </c>
      <c r="P86" s="32">
        <v>2001</v>
      </c>
    </row>
    <row r="87" spans="1:16" x14ac:dyDescent="0.25">
      <c r="A87" s="1" t="s">
        <v>103</v>
      </c>
      <c r="B87" s="31">
        <v>59.6</v>
      </c>
      <c r="C87" s="1" t="s">
        <v>20</v>
      </c>
      <c r="D87" s="2">
        <v>42795</v>
      </c>
      <c r="E87" s="2">
        <v>42795</v>
      </c>
      <c r="F87" s="17">
        <v>1790000</v>
      </c>
      <c r="G87" s="17">
        <v>30033.56</v>
      </c>
      <c r="H87" s="31">
        <v>1</v>
      </c>
      <c r="I87" s="1" t="s">
        <v>21</v>
      </c>
      <c r="J87" s="1" t="s">
        <v>32</v>
      </c>
      <c r="K87" s="1" t="s">
        <v>78</v>
      </c>
      <c r="L87" s="1" t="s">
        <v>76</v>
      </c>
      <c r="M87" s="1"/>
      <c r="N87" s="31">
        <v>5</v>
      </c>
      <c r="O87" s="31">
        <v>2</v>
      </c>
      <c r="P87" s="32">
        <v>2001</v>
      </c>
    </row>
    <row r="88" spans="1:16" x14ac:dyDescent="0.25">
      <c r="A88" s="1" t="s">
        <v>102</v>
      </c>
      <c r="B88" s="31">
        <v>39</v>
      </c>
      <c r="C88" s="1" t="s">
        <v>20</v>
      </c>
      <c r="D88" s="2">
        <v>42705</v>
      </c>
      <c r="E88" s="2">
        <v>42705</v>
      </c>
      <c r="F88" s="17">
        <v>1181500</v>
      </c>
      <c r="G88" s="17">
        <v>30294.87</v>
      </c>
      <c r="H88" s="31">
        <v>1</v>
      </c>
      <c r="I88" s="1" t="s">
        <v>21</v>
      </c>
      <c r="J88" s="1" t="s">
        <v>22</v>
      </c>
      <c r="K88" s="1" t="s">
        <v>78</v>
      </c>
      <c r="L88" s="1" t="s">
        <v>76</v>
      </c>
      <c r="M88" s="1"/>
      <c r="N88" s="31">
        <v>4</v>
      </c>
      <c r="O88" s="31">
        <v>1</v>
      </c>
      <c r="P88" s="32">
        <v>2016</v>
      </c>
    </row>
    <row r="89" spans="1:16" x14ac:dyDescent="0.25">
      <c r="A89" s="1" t="s">
        <v>87</v>
      </c>
      <c r="B89" s="31">
        <v>55.6</v>
      </c>
      <c r="C89" s="1" t="s">
        <v>20</v>
      </c>
      <c r="D89" s="2">
        <v>42767</v>
      </c>
      <c r="E89" s="2">
        <v>42767</v>
      </c>
      <c r="F89" s="17">
        <v>1740000</v>
      </c>
      <c r="G89" s="17">
        <v>31294.959999999999</v>
      </c>
      <c r="H89" s="31">
        <v>1</v>
      </c>
      <c r="I89" s="1" t="s">
        <v>21</v>
      </c>
      <c r="J89" s="1" t="s">
        <v>22</v>
      </c>
      <c r="K89" s="1" t="s">
        <v>78</v>
      </c>
      <c r="L89" s="1" t="s">
        <v>76</v>
      </c>
      <c r="M89" s="1" t="s">
        <v>94</v>
      </c>
      <c r="N89" s="31">
        <v>1</v>
      </c>
      <c r="O89" s="31">
        <v>1</v>
      </c>
      <c r="P89" s="32">
        <v>2015</v>
      </c>
    </row>
    <row r="90" spans="1:16" x14ac:dyDescent="0.25">
      <c r="A90" s="1" t="s">
        <v>87</v>
      </c>
      <c r="B90" s="31">
        <v>36.1</v>
      </c>
      <c r="C90" s="1" t="s">
        <v>20</v>
      </c>
      <c r="D90" s="2">
        <v>42705</v>
      </c>
      <c r="E90" s="2">
        <v>42705</v>
      </c>
      <c r="F90" s="17">
        <v>1200000</v>
      </c>
      <c r="G90" s="17">
        <v>33241</v>
      </c>
      <c r="H90" s="31">
        <v>1</v>
      </c>
      <c r="I90" s="1" t="s">
        <v>21</v>
      </c>
      <c r="J90" s="1" t="s">
        <v>32</v>
      </c>
      <c r="K90" s="1" t="s">
        <v>78</v>
      </c>
      <c r="L90" s="1" t="s">
        <v>76</v>
      </c>
      <c r="M90" s="1"/>
      <c r="N90" s="31">
        <v>1</v>
      </c>
      <c r="O90" s="31">
        <v>2</v>
      </c>
      <c r="P90" s="32">
        <v>2008</v>
      </c>
    </row>
    <row r="91" spans="1:16" x14ac:dyDescent="0.25">
      <c r="A91" s="1" t="s">
        <v>87</v>
      </c>
      <c r="B91" s="31">
        <v>36.1</v>
      </c>
      <c r="C91" s="1" t="s">
        <v>20</v>
      </c>
      <c r="D91" s="2">
        <v>42705</v>
      </c>
      <c r="E91" s="2">
        <v>42705</v>
      </c>
      <c r="F91" s="17">
        <v>1200000</v>
      </c>
      <c r="G91" s="17">
        <v>33241</v>
      </c>
      <c r="H91" s="31">
        <v>1</v>
      </c>
      <c r="I91" s="1" t="s">
        <v>21</v>
      </c>
      <c r="J91" s="1" t="s">
        <v>32</v>
      </c>
      <c r="K91" s="1" t="s">
        <v>78</v>
      </c>
      <c r="L91" s="1" t="s">
        <v>76</v>
      </c>
      <c r="M91" s="1"/>
      <c r="N91" s="31">
        <v>1</v>
      </c>
      <c r="O91" s="31">
        <v>2</v>
      </c>
      <c r="P91" s="32">
        <v>2008</v>
      </c>
    </row>
    <row r="92" spans="1:16" x14ac:dyDescent="0.25">
      <c r="A92" s="1" t="s">
        <v>88</v>
      </c>
      <c r="B92" s="31">
        <v>52.7</v>
      </c>
      <c r="C92" s="1" t="s">
        <v>20</v>
      </c>
      <c r="D92" s="2">
        <v>42767</v>
      </c>
      <c r="E92" s="2">
        <v>42795</v>
      </c>
      <c r="F92" s="17">
        <v>1800000</v>
      </c>
      <c r="G92" s="17">
        <v>34155.599999999999</v>
      </c>
      <c r="H92" s="31">
        <v>1</v>
      </c>
      <c r="I92" s="1" t="s">
        <v>21</v>
      </c>
      <c r="J92" s="1" t="s">
        <v>32</v>
      </c>
      <c r="K92" s="1" t="s">
        <v>78</v>
      </c>
      <c r="L92" s="1" t="s">
        <v>76</v>
      </c>
      <c r="M92" s="1" t="s">
        <v>79</v>
      </c>
      <c r="N92" s="31">
        <v>4</v>
      </c>
      <c r="O92" s="31">
        <v>1</v>
      </c>
      <c r="P92" s="32">
        <v>2010</v>
      </c>
    </row>
    <row r="93" spans="1:16" x14ac:dyDescent="0.25">
      <c r="A93" s="1" t="s">
        <v>93</v>
      </c>
      <c r="B93" s="31">
        <v>55.8</v>
      </c>
      <c r="C93" s="1" t="s">
        <v>20</v>
      </c>
      <c r="D93" s="2">
        <v>42736</v>
      </c>
      <c r="E93" s="2">
        <v>42736</v>
      </c>
      <c r="F93" s="17">
        <v>1950000</v>
      </c>
      <c r="G93" s="17">
        <v>34946.239999999998</v>
      </c>
      <c r="H93" s="31">
        <v>1</v>
      </c>
      <c r="I93" s="1" t="s">
        <v>21</v>
      </c>
      <c r="J93" s="1" t="s">
        <v>32</v>
      </c>
      <c r="K93" s="1" t="s">
        <v>78</v>
      </c>
      <c r="L93" s="1" t="s">
        <v>76</v>
      </c>
      <c r="M93" s="1"/>
      <c r="N93" s="31">
        <v>4</v>
      </c>
      <c r="O93" s="31">
        <v>2</v>
      </c>
      <c r="P93" s="32">
        <v>2006</v>
      </c>
    </row>
    <row r="94" spans="1:16" x14ac:dyDescent="0.25">
      <c r="A94" s="1" t="s">
        <v>93</v>
      </c>
      <c r="B94" s="31">
        <v>55.8</v>
      </c>
      <c r="C94" s="1" t="s">
        <v>20</v>
      </c>
      <c r="D94" s="2">
        <v>42736</v>
      </c>
      <c r="E94" s="2">
        <v>42736</v>
      </c>
      <c r="F94" s="17">
        <v>1950000</v>
      </c>
      <c r="G94" s="17">
        <v>34946.239999999998</v>
      </c>
      <c r="H94" s="31">
        <v>1</v>
      </c>
      <c r="I94" s="1" t="s">
        <v>21</v>
      </c>
      <c r="J94" s="1" t="s">
        <v>32</v>
      </c>
      <c r="K94" s="1" t="s">
        <v>78</v>
      </c>
      <c r="L94" s="1" t="s">
        <v>76</v>
      </c>
      <c r="M94" s="1"/>
      <c r="N94" s="31">
        <v>4</v>
      </c>
      <c r="O94" s="31">
        <v>2</v>
      </c>
      <c r="P94" s="32">
        <v>2006</v>
      </c>
    </row>
    <row r="95" spans="1:16" x14ac:dyDescent="0.25">
      <c r="A95" s="1" t="s">
        <v>100</v>
      </c>
      <c r="B95" s="31">
        <v>77.599999999999994</v>
      </c>
      <c r="C95" s="1" t="s">
        <v>20</v>
      </c>
      <c r="D95" s="2">
        <v>42705</v>
      </c>
      <c r="E95" s="2">
        <v>42705</v>
      </c>
      <c r="F95" s="17">
        <v>2794000</v>
      </c>
      <c r="G95" s="17">
        <v>36005.15</v>
      </c>
      <c r="H95" s="31">
        <v>1</v>
      </c>
      <c r="I95" s="1" t="s">
        <v>21</v>
      </c>
      <c r="J95" s="1" t="s">
        <v>64</v>
      </c>
      <c r="K95" s="1" t="s">
        <v>78</v>
      </c>
      <c r="L95" s="1" t="s">
        <v>76</v>
      </c>
      <c r="M95" s="1" t="s">
        <v>79</v>
      </c>
      <c r="N95" s="31">
        <v>1</v>
      </c>
      <c r="O95" s="31">
        <v>1</v>
      </c>
      <c r="P95" s="32">
        <v>2001</v>
      </c>
    </row>
    <row r="96" spans="1:16" x14ac:dyDescent="0.25">
      <c r="A96" s="1" t="s">
        <v>119</v>
      </c>
      <c r="B96" s="31">
        <v>62.6</v>
      </c>
      <c r="C96" s="1" t="s">
        <v>20</v>
      </c>
      <c r="D96" s="2">
        <v>42675</v>
      </c>
      <c r="E96" s="2">
        <v>42675</v>
      </c>
      <c r="F96" s="17">
        <v>1200000</v>
      </c>
      <c r="G96" s="17">
        <v>19169.330000000002</v>
      </c>
      <c r="H96" s="31">
        <v>1</v>
      </c>
      <c r="I96" s="1" t="s">
        <v>21</v>
      </c>
      <c r="J96" s="1" t="s">
        <v>22</v>
      </c>
      <c r="K96" s="1" t="s">
        <v>113</v>
      </c>
      <c r="L96" s="1" t="s">
        <v>111</v>
      </c>
      <c r="M96" s="1" t="s">
        <v>120</v>
      </c>
      <c r="N96" s="31">
        <v>1</v>
      </c>
      <c r="O96" s="31">
        <v>1</v>
      </c>
      <c r="P96" s="32">
        <v>2008</v>
      </c>
    </row>
    <row r="97" spans="1:16" x14ac:dyDescent="0.25">
      <c r="A97" s="1" t="s">
        <v>117</v>
      </c>
      <c r="B97" s="31">
        <v>59.7</v>
      </c>
      <c r="C97" s="1" t="s">
        <v>20</v>
      </c>
      <c r="D97" s="2">
        <v>42644</v>
      </c>
      <c r="E97" s="2">
        <v>42675</v>
      </c>
      <c r="F97" s="17">
        <v>1146974</v>
      </c>
      <c r="G97" s="17">
        <v>19212.29</v>
      </c>
      <c r="H97" s="31">
        <v>1</v>
      </c>
      <c r="I97" s="1" t="s">
        <v>21</v>
      </c>
      <c r="J97" s="1" t="s">
        <v>22</v>
      </c>
      <c r="K97" s="1" t="s">
        <v>113</v>
      </c>
      <c r="L97" s="1" t="s">
        <v>111</v>
      </c>
      <c r="M97" s="1" t="s">
        <v>118</v>
      </c>
      <c r="N97" s="31">
        <v>1</v>
      </c>
      <c r="O97" s="31">
        <v>1</v>
      </c>
      <c r="P97" s="32">
        <v>2010</v>
      </c>
    </row>
    <row r="98" spans="1:16" x14ac:dyDescent="0.25">
      <c r="A98" s="1" t="s">
        <v>121</v>
      </c>
      <c r="B98" s="31">
        <v>84.8</v>
      </c>
      <c r="C98" s="1" t="s">
        <v>20</v>
      </c>
      <c r="D98" s="2">
        <v>42705</v>
      </c>
      <c r="E98" s="2">
        <v>42705</v>
      </c>
      <c r="F98" s="17">
        <v>1700000</v>
      </c>
      <c r="G98" s="17">
        <v>20047.169999999998</v>
      </c>
      <c r="H98" s="31">
        <v>1</v>
      </c>
      <c r="I98" s="1" t="s">
        <v>21</v>
      </c>
      <c r="J98" s="1" t="s">
        <v>22</v>
      </c>
      <c r="K98" s="1" t="s">
        <v>113</v>
      </c>
      <c r="L98" s="1" t="s">
        <v>111</v>
      </c>
      <c r="M98" s="1" t="s">
        <v>122</v>
      </c>
      <c r="N98" s="31">
        <v>1</v>
      </c>
      <c r="O98" s="31">
        <v>1</v>
      </c>
      <c r="P98" s="32">
        <v>2010</v>
      </c>
    </row>
    <row r="99" spans="1:16" x14ac:dyDescent="0.25">
      <c r="A99" s="1" t="s">
        <v>115</v>
      </c>
      <c r="B99" s="31">
        <v>29.7</v>
      </c>
      <c r="C99" s="1" t="s">
        <v>20</v>
      </c>
      <c r="D99" s="2">
        <v>42644</v>
      </c>
      <c r="E99" s="2">
        <v>42767</v>
      </c>
      <c r="F99" s="17">
        <v>660250</v>
      </c>
      <c r="G99" s="17">
        <v>22230.639999999999</v>
      </c>
      <c r="H99" s="31">
        <v>1</v>
      </c>
      <c r="I99" s="1" t="s">
        <v>21</v>
      </c>
      <c r="J99" s="1" t="s">
        <v>18</v>
      </c>
      <c r="K99" s="1" t="s">
        <v>113</v>
      </c>
      <c r="L99" s="1" t="s">
        <v>111</v>
      </c>
      <c r="M99" s="1" t="s">
        <v>116</v>
      </c>
      <c r="N99" s="31">
        <v>1</v>
      </c>
      <c r="O99" s="31">
        <v>1</v>
      </c>
      <c r="P99" s="32">
        <v>2016</v>
      </c>
    </row>
    <row r="100" spans="1:16" x14ac:dyDescent="0.25">
      <c r="A100" s="1" t="s">
        <v>115</v>
      </c>
      <c r="B100" s="31">
        <v>58.4</v>
      </c>
      <c r="C100" s="1" t="s">
        <v>20</v>
      </c>
      <c r="D100" s="2">
        <v>42736</v>
      </c>
      <c r="E100" s="2">
        <v>42767</v>
      </c>
      <c r="F100" s="17">
        <v>1342000</v>
      </c>
      <c r="G100" s="17">
        <v>22979.45</v>
      </c>
      <c r="H100" s="31">
        <v>1</v>
      </c>
      <c r="I100" s="1" t="s">
        <v>21</v>
      </c>
      <c r="J100" s="1" t="s">
        <v>18</v>
      </c>
      <c r="K100" s="1" t="s">
        <v>113</v>
      </c>
      <c r="L100" s="1" t="s">
        <v>111</v>
      </c>
      <c r="M100" s="1" t="s">
        <v>116</v>
      </c>
      <c r="N100" s="31">
        <v>1</v>
      </c>
      <c r="O100" s="31">
        <v>1</v>
      </c>
      <c r="P100" s="32">
        <v>2016</v>
      </c>
    </row>
    <row r="101" spans="1:16" x14ac:dyDescent="0.25">
      <c r="A101" s="1" t="s">
        <v>115</v>
      </c>
      <c r="B101" s="31">
        <v>31.7</v>
      </c>
      <c r="C101" s="1" t="s">
        <v>20</v>
      </c>
      <c r="D101" s="2">
        <v>42644</v>
      </c>
      <c r="E101" s="2">
        <v>42644</v>
      </c>
      <c r="F101" s="17">
        <v>730400</v>
      </c>
      <c r="G101" s="17">
        <v>23041.01</v>
      </c>
      <c r="H101" s="31">
        <v>1</v>
      </c>
      <c r="I101" s="1" t="s">
        <v>21</v>
      </c>
      <c r="J101" s="1" t="s">
        <v>18</v>
      </c>
      <c r="K101" s="1" t="s">
        <v>113</v>
      </c>
      <c r="L101" s="1" t="s">
        <v>111</v>
      </c>
      <c r="M101" s="1" t="s">
        <v>116</v>
      </c>
      <c r="N101" s="31">
        <v>3</v>
      </c>
      <c r="O101" s="31">
        <v>1</v>
      </c>
      <c r="P101" s="32">
        <v>2016</v>
      </c>
    </row>
    <row r="102" spans="1:16" x14ac:dyDescent="0.25">
      <c r="A102" s="1" t="s">
        <v>115</v>
      </c>
      <c r="B102" s="31">
        <v>33</v>
      </c>
      <c r="C102" s="1" t="s">
        <v>20</v>
      </c>
      <c r="D102" s="2">
        <v>42705</v>
      </c>
      <c r="E102" s="2">
        <v>42705</v>
      </c>
      <c r="F102" s="17">
        <v>761200</v>
      </c>
      <c r="G102" s="17">
        <v>23066.67</v>
      </c>
      <c r="H102" s="31">
        <v>1</v>
      </c>
      <c r="I102" s="1" t="s">
        <v>21</v>
      </c>
      <c r="J102" s="1" t="s">
        <v>18</v>
      </c>
      <c r="K102" s="1" t="s">
        <v>113</v>
      </c>
      <c r="L102" s="1" t="s">
        <v>111</v>
      </c>
      <c r="M102" s="1" t="s">
        <v>116</v>
      </c>
      <c r="N102" s="31">
        <v>3</v>
      </c>
      <c r="O102" s="31">
        <v>2</v>
      </c>
      <c r="P102" s="32">
        <v>2016</v>
      </c>
    </row>
    <row r="103" spans="1:16" x14ac:dyDescent="0.25">
      <c r="A103" s="1" t="s">
        <v>115</v>
      </c>
      <c r="B103" s="31">
        <v>33</v>
      </c>
      <c r="C103" s="1" t="s">
        <v>20</v>
      </c>
      <c r="D103" s="2">
        <v>42705</v>
      </c>
      <c r="E103" s="2">
        <v>42705</v>
      </c>
      <c r="F103" s="17">
        <v>761200</v>
      </c>
      <c r="G103" s="17">
        <v>23066.67</v>
      </c>
      <c r="H103" s="31">
        <v>1</v>
      </c>
      <c r="I103" s="1" t="s">
        <v>21</v>
      </c>
      <c r="J103" s="1" t="s">
        <v>18</v>
      </c>
      <c r="K103" s="1" t="s">
        <v>113</v>
      </c>
      <c r="L103" s="1" t="s">
        <v>111</v>
      </c>
      <c r="M103" s="1" t="s">
        <v>116</v>
      </c>
      <c r="N103" s="31">
        <v>3</v>
      </c>
      <c r="O103" s="31">
        <v>2</v>
      </c>
      <c r="P103" s="32">
        <v>2016</v>
      </c>
    </row>
    <row r="104" spans="1:16" x14ac:dyDescent="0.25">
      <c r="A104" s="1" t="s">
        <v>115</v>
      </c>
      <c r="B104" s="31">
        <v>57.5</v>
      </c>
      <c r="C104" s="1" t="s">
        <v>20</v>
      </c>
      <c r="D104" s="2">
        <v>42675</v>
      </c>
      <c r="E104" s="2">
        <v>42705</v>
      </c>
      <c r="F104" s="17">
        <v>1658250</v>
      </c>
      <c r="G104" s="17">
        <v>28839.13</v>
      </c>
      <c r="H104" s="31">
        <v>1</v>
      </c>
      <c r="I104" s="1" t="s">
        <v>21</v>
      </c>
      <c r="J104" s="1" t="s">
        <v>18</v>
      </c>
      <c r="K104" s="1" t="s">
        <v>113</v>
      </c>
      <c r="L104" s="1" t="s">
        <v>111</v>
      </c>
      <c r="M104" s="1" t="s">
        <v>116</v>
      </c>
      <c r="N104" s="31">
        <v>3</v>
      </c>
      <c r="O104" s="31">
        <v>1</v>
      </c>
      <c r="P104" s="32">
        <v>2016</v>
      </c>
    </row>
    <row r="105" spans="1:16" x14ac:dyDescent="0.25">
      <c r="A105" s="1" t="s">
        <v>112</v>
      </c>
      <c r="B105" s="31">
        <v>14.6</v>
      </c>
      <c r="C105" s="1" t="s">
        <v>20</v>
      </c>
      <c r="D105" s="2">
        <v>42614</v>
      </c>
      <c r="E105" s="2">
        <v>42644</v>
      </c>
      <c r="F105" s="17">
        <v>434000</v>
      </c>
      <c r="G105" s="17">
        <v>29726.03</v>
      </c>
      <c r="H105" s="31">
        <v>1</v>
      </c>
      <c r="I105" s="1" t="s">
        <v>21</v>
      </c>
      <c r="J105" s="1" t="s">
        <v>22</v>
      </c>
      <c r="K105" s="1" t="s">
        <v>113</v>
      </c>
      <c r="L105" s="1" t="s">
        <v>111</v>
      </c>
      <c r="M105" s="1" t="s">
        <v>114</v>
      </c>
      <c r="N105" s="31">
        <v>1</v>
      </c>
      <c r="O105" s="31">
        <v>1</v>
      </c>
      <c r="P105" s="32">
        <v>2006</v>
      </c>
    </row>
    <row r="106" spans="1:16" x14ac:dyDescent="0.25">
      <c r="A106" s="1" t="s">
        <v>131</v>
      </c>
      <c r="B106" s="31">
        <v>50.6</v>
      </c>
      <c r="C106" s="1" t="s">
        <v>20</v>
      </c>
      <c r="D106" s="2">
        <v>42705</v>
      </c>
      <c r="E106" s="2">
        <v>42705</v>
      </c>
      <c r="F106" s="17">
        <v>1000000</v>
      </c>
      <c r="G106" s="17">
        <v>19762.849999999999</v>
      </c>
      <c r="H106" s="31">
        <v>1</v>
      </c>
      <c r="I106" s="1" t="s">
        <v>21</v>
      </c>
      <c r="J106" s="1" t="s">
        <v>22</v>
      </c>
      <c r="K106" s="1" t="s">
        <v>125</v>
      </c>
      <c r="L106" s="1" t="s">
        <v>123</v>
      </c>
      <c r="M106" s="1" t="s">
        <v>132</v>
      </c>
      <c r="N106" s="31">
        <v>1</v>
      </c>
      <c r="O106" s="31">
        <v>1</v>
      </c>
      <c r="P106" s="32">
        <v>2007</v>
      </c>
    </row>
    <row r="107" spans="1:16" x14ac:dyDescent="0.25">
      <c r="A107" s="1" t="s">
        <v>134</v>
      </c>
      <c r="B107" s="31">
        <v>21.2</v>
      </c>
      <c r="C107" s="1" t="s">
        <v>20</v>
      </c>
      <c r="D107" s="2">
        <v>42767</v>
      </c>
      <c r="E107" s="2">
        <v>42767</v>
      </c>
      <c r="F107" s="17">
        <v>453026</v>
      </c>
      <c r="G107" s="17">
        <v>21369.15</v>
      </c>
      <c r="H107" s="31">
        <v>1</v>
      </c>
      <c r="I107" s="1" t="s">
        <v>21</v>
      </c>
      <c r="J107" s="1" t="s">
        <v>22</v>
      </c>
      <c r="K107" s="1" t="s">
        <v>125</v>
      </c>
      <c r="L107" s="1" t="s">
        <v>123</v>
      </c>
      <c r="M107" s="1" t="s">
        <v>128</v>
      </c>
      <c r="N107" s="31">
        <v>1</v>
      </c>
      <c r="O107" s="31">
        <v>1</v>
      </c>
      <c r="P107" s="32">
        <v>2010</v>
      </c>
    </row>
    <row r="108" spans="1:16" x14ac:dyDescent="0.25">
      <c r="A108" s="1" t="s">
        <v>127</v>
      </c>
      <c r="B108" s="31">
        <v>50.7</v>
      </c>
      <c r="C108" s="1" t="s">
        <v>20</v>
      </c>
      <c r="D108" s="2">
        <v>42705</v>
      </c>
      <c r="E108" s="2">
        <v>42705</v>
      </c>
      <c r="F108" s="17">
        <v>1440000</v>
      </c>
      <c r="G108" s="17">
        <v>28402.37</v>
      </c>
      <c r="H108" s="31">
        <v>1</v>
      </c>
      <c r="I108" s="1" t="s">
        <v>21</v>
      </c>
      <c r="J108" s="1" t="s">
        <v>22</v>
      </c>
      <c r="K108" s="1" t="s">
        <v>125</v>
      </c>
      <c r="L108" s="1" t="s">
        <v>123</v>
      </c>
      <c r="M108" s="1" t="s">
        <v>133</v>
      </c>
      <c r="N108" s="31">
        <v>1</v>
      </c>
      <c r="O108" s="31">
        <v>2</v>
      </c>
      <c r="P108" s="32">
        <v>2006</v>
      </c>
    </row>
    <row r="109" spans="1:16" x14ac:dyDescent="0.25">
      <c r="A109" s="1" t="s">
        <v>127</v>
      </c>
      <c r="B109" s="31">
        <v>50.7</v>
      </c>
      <c r="C109" s="1" t="s">
        <v>20</v>
      </c>
      <c r="D109" s="2">
        <v>42705</v>
      </c>
      <c r="E109" s="2">
        <v>42705</v>
      </c>
      <c r="F109" s="17">
        <v>1440000</v>
      </c>
      <c r="G109" s="17">
        <v>28402.37</v>
      </c>
      <c r="H109" s="31">
        <v>1</v>
      </c>
      <c r="I109" s="1" t="s">
        <v>21</v>
      </c>
      <c r="J109" s="1" t="s">
        <v>22</v>
      </c>
      <c r="K109" s="1" t="s">
        <v>125</v>
      </c>
      <c r="L109" s="1" t="s">
        <v>123</v>
      </c>
      <c r="M109" s="1" t="s">
        <v>133</v>
      </c>
      <c r="N109" s="31">
        <v>1</v>
      </c>
      <c r="O109" s="31">
        <v>2</v>
      </c>
      <c r="P109" s="32">
        <v>2006</v>
      </c>
    </row>
    <row r="110" spans="1:16" x14ac:dyDescent="0.25">
      <c r="A110" s="1" t="s">
        <v>129</v>
      </c>
      <c r="B110" s="31">
        <v>41.5</v>
      </c>
      <c r="C110" s="1" t="s">
        <v>20</v>
      </c>
      <c r="D110" s="2">
        <v>42705</v>
      </c>
      <c r="E110" s="2">
        <v>42705</v>
      </c>
      <c r="F110" s="17">
        <v>1287828</v>
      </c>
      <c r="G110" s="17">
        <v>31032</v>
      </c>
      <c r="H110" s="31">
        <v>1</v>
      </c>
      <c r="I110" s="1" t="s">
        <v>21</v>
      </c>
      <c r="J110" s="1" t="s">
        <v>22</v>
      </c>
      <c r="K110" s="1" t="s">
        <v>125</v>
      </c>
      <c r="L110" s="1" t="s">
        <v>123</v>
      </c>
      <c r="M110" s="1" t="s">
        <v>130</v>
      </c>
      <c r="N110" s="31">
        <v>2</v>
      </c>
      <c r="O110" s="31">
        <v>1</v>
      </c>
      <c r="P110" s="32">
        <v>2003</v>
      </c>
    </row>
    <row r="111" spans="1:16" x14ac:dyDescent="0.25">
      <c r="A111" s="1" t="s">
        <v>136</v>
      </c>
      <c r="B111" s="31">
        <v>47.8</v>
      </c>
      <c r="C111" s="1" t="s">
        <v>20</v>
      </c>
      <c r="D111" s="2">
        <v>42736</v>
      </c>
      <c r="E111" s="2">
        <v>42767</v>
      </c>
      <c r="F111" s="17">
        <v>1440000</v>
      </c>
      <c r="G111" s="17">
        <v>30125.52</v>
      </c>
      <c r="H111" s="31">
        <v>1</v>
      </c>
      <c r="I111" s="1" t="s">
        <v>21</v>
      </c>
      <c r="J111" s="1" t="s">
        <v>22</v>
      </c>
      <c r="K111" s="1" t="s">
        <v>137</v>
      </c>
      <c r="L111" s="1" t="s">
        <v>135</v>
      </c>
      <c r="M111" s="1" t="s">
        <v>138</v>
      </c>
      <c r="N111" s="31">
        <v>2</v>
      </c>
      <c r="O111" s="31">
        <v>1</v>
      </c>
      <c r="P111" s="32">
        <v>2002</v>
      </c>
    </row>
    <row r="112" spans="1:16" x14ac:dyDescent="0.25">
      <c r="A112" s="1" t="s">
        <v>141</v>
      </c>
      <c r="B112" s="31">
        <v>55.6</v>
      </c>
      <c r="C112" s="1" t="s">
        <v>20</v>
      </c>
      <c r="D112" s="2">
        <v>42767</v>
      </c>
      <c r="E112" s="2">
        <v>42767</v>
      </c>
      <c r="F112" s="17">
        <v>1680000</v>
      </c>
      <c r="G112" s="17">
        <v>30215.83</v>
      </c>
      <c r="H112" s="31">
        <v>1</v>
      </c>
      <c r="I112" s="1" t="s">
        <v>21</v>
      </c>
      <c r="J112" s="1" t="s">
        <v>22</v>
      </c>
      <c r="K112" s="1" t="s">
        <v>137</v>
      </c>
      <c r="L112" s="1" t="s">
        <v>135</v>
      </c>
      <c r="M112" s="1" t="s">
        <v>145</v>
      </c>
      <c r="N112" s="31">
        <v>3</v>
      </c>
      <c r="O112" s="31">
        <v>2</v>
      </c>
      <c r="P112" s="32">
        <v>2002</v>
      </c>
    </row>
    <row r="113" spans="1:16" x14ac:dyDescent="0.25">
      <c r="A113" s="1" t="s">
        <v>141</v>
      </c>
      <c r="B113" s="31">
        <v>55.6</v>
      </c>
      <c r="C113" s="1" t="s">
        <v>20</v>
      </c>
      <c r="D113" s="2">
        <v>42767</v>
      </c>
      <c r="E113" s="2">
        <v>42767</v>
      </c>
      <c r="F113" s="17">
        <v>1680000</v>
      </c>
      <c r="G113" s="17">
        <v>30215.83</v>
      </c>
      <c r="H113" s="31">
        <v>1</v>
      </c>
      <c r="I113" s="1" t="s">
        <v>21</v>
      </c>
      <c r="J113" s="1" t="s">
        <v>22</v>
      </c>
      <c r="K113" s="1" t="s">
        <v>137</v>
      </c>
      <c r="L113" s="1" t="s">
        <v>135</v>
      </c>
      <c r="M113" s="1" t="s">
        <v>145</v>
      </c>
      <c r="N113" s="31">
        <v>3</v>
      </c>
      <c r="O113" s="31">
        <v>2</v>
      </c>
      <c r="P113" s="32">
        <v>2002</v>
      </c>
    </row>
    <row r="114" spans="1:16" x14ac:dyDescent="0.25">
      <c r="A114" s="1" t="s">
        <v>147</v>
      </c>
      <c r="B114" s="31">
        <v>46.2</v>
      </c>
      <c r="C114" s="1" t="s">
        <v>20</v>
      </c>
      <c r="D114" s="2">
        <v>42675</v>
      </c>
      <c r="E114" s="2">
        <v>42675</v>
      </c>
      <c r="F114" s="17">
        <v>1400000</v>
      </c>
      <c r="G114" s="17">
        <v>30303.03</v>
      </c>
      <c r="H114" s="31">
        <v>1</v>
      </c>
      <c r="I114" s="1" t="s">
        <v>21</v>
      </c>
      <c r="J114" s="1" t="s">
        <v>22</v>
      </c>
      <c r="K114" s="1" t="s">
        <v>137</v>
      </c>
      <c r="L114" s="1" t="s">
        <v>135</v>
      </c>
      <c r="M114" s="1" t="s">
        <v>148</v>
      </c>
      <c r="N114" s="31">
        <v>3</v>
      </c>
      <c r="O114" s="31">
        <v>1</v>
      </c>
      <c r="P114" s="32">
        <v>2014</v>
      </c>
    </row>
    <row r="115" spans="1:16" x14ac:dyDescent="0.25">
      <c r="A115" s="1" t="s">
        <v>136</v>
      </c>
      <c r="B115" s="31">
        <v>59.6</v>
      </c>
      <c r="C115" s="1" t="s">
        <v>20</v>
      </c>
      <c r="D115" s="2">
        <v>42767</v>
      </c>
      <c r="E115" s="2">
        <v>42767</v>
      </c>
      <c r="F115" s="17">
        <v>1840000</v>
      </c>
      <c r="G115" s="17">
        <v>30872.48</v>
      </c>
      <c r="H115" s="31">
        <v>1</v>
      </c>
      <c r="I115" s="1" t="s">
        <v>21</v>
      </c>
      <c r="J115" s="1" t="s">
        <v>22</v>
      </c>
      <c r="K115" s="1" t="s">
        <v>137</v>
      </c>
      <c r="L115" s="1" t="s">
        <v>135</v>
      </c>
      <c r="M115" s="1" t="s">
        <v>49</v>
      </c>
      <c r="N115" s="31">
        <v>4</v>
      </c>
      <c r="O115" s="31">
        <v>1</v>
      </c>
      <c r="P115" s="32">
        <v>2007</v>
      </c>
    </row>
    <row r="116" spans="1:16" x14ac:dyDescent="0.25">
      <c r="A116" s="1" t="s">
        <v>141</v>
      </c>
      <c r="B116" s="31">
        <v>60.3</v>
      </c>
      <c r="C116" s="1" t="s">
        <v>20</v>
      </c>
      <c r="D116" s="2">
        <v>42705</v>
      </c>
      <c r="E116" s="2">
        <v>42736</v>
      </c>
      <c r="F116" s="17">
        <v>1900000</v>
      </c>
      <c r="G116" s="17">
        <v>31509.119999999999</v>
      </c>
      <c r="H116" s="31">
        <v>1</v>
      </c>
      <c r="I116" s="1" t="s">
        <v>21</v>
      </c>
      <c r="J116" s="1" t="s">
        <v>22</v>
      </c>
      <c r="K116" s="1" t="s">
        <v>137</v>
      </c>
      <c r="L116" s="1" t="s">
        <v>135</v>
      </c>
      <c r="M116" s="1" t="s">
        <v>145</v>
      </c>
      <c r="N116" s="31">
        <v>3</v>
      </c>
      <c r="O116" s="31">
        <v>2</v>
      </c>
      <c r="P116" s="32">
        <v>2002</v>
      </c>
    </row>
    <row r="117" spans="1:16" x14ac:dyDescent="0.25">
      <c r="A117" s="1" t="s">
        <v>141</v>
      </c>
      <c r="B117" s="31">
        <v>60.3</v>
      </c>
      <c r="C117" s="1" t="s">
        <v>20</v>
      </c>
      <c r="D117" s="2">
        <v>42705</v>
      </c>
      <c r="E117" s="2">
        <v>42736</v>
      </c>
      <c r="F117" s="17">
        <v>1900000</v>
      </c>
      <c r="G117" s="17">
        <v>31509.119999999999</v>
      </c>
      <c r="H117" s="31">
        <v>1</v>
      </c>
      <c r="I117" s="1" t="s">
        <v>21</v>
      </c>
      <c r="J117" s="1" t="s">
        <v>22</v>
      </c>
      <c r="K117" s="1" t="s">
        <v>137</v>
      </c>
      <c r="L117" s="1" t="s">
        <v>135</v>
      </c>
      <c r="M117" s="1" t="s">
        <v>145</v>
      </c>
      <c r="N117" s="31">
        <v>3</v>
      </c>
      <c r="O117" s="31">
        <v>2</v>
      </c>
      <c r="P117" s="32">
        <v>2002</v>
      </c>
    </row>
    <row r="118" spans="1:16" x14ac:dyDescent="0.25">
      <c r="A118" s="1" t="s">
        <v>141</v>
      </c>
      <c r="B118" s="31">
        <v>50.7</v>
      </c>
      <c r="C118" s="1" t="s">
        <v>20</v>
      </c>
      <c r="D118" s="2">
        <v>42736</v>
      </c>
      <c r="E118" s="2">
        <v>42767</v>
      </c>
      <c r="F118" s="17">
        <v>1600000</v>
      </c>
      <c r="G118" s="17">
        <v>31558.19</v>
      </c>
      <c r="H118" s="31">
        <v>1</v>
      </c>
      <c r="I118" s="1" t="s">
        <v>21</v>
      </c>
      <c r="J118" s="1" t="s">
        <v>22</v>
      </c>
      <c r="K118" s="1" t="s">
        <v>137</v>
      </c>
      <c r="L118" s="1" t="s">
        <v>135</v>
      </c>
      <c r="M118" s="1" t="s">
        <v>142</v>
      </c>
      <c r="N118" s="31">
        <v>2</v>
      </c>
      <c r="O118" s="31">
        <v>1</v>
      </c>
      <c r="P118" s="32">
        <v>2009</v>
      </c>
    </row>
    <row r="119" spans="1:16" x14ac:dyDescent="0.25">
      <c r="A119" s="1" t="s">
        <v>141</v>
      </c>
      <c r="B119" s="31">
        <v>50.2</v>
      </c>
      <c r="C119" s="1" t="s">
        <v>20</v>
      </c>
      <c r="D119" s="2">
        <v>42767</v>
      </c>
      <c r="E119" s="2">
        <v>42767</v>
      </c>
      <c r="F119" s="17">
        <v>1615000</v>
      </c>
      <c r="G119" s="17">
        <v>32171.31</v>
      </c>
      <c r="H119" s="31">
        <v>1</v>
      </c>
      <c r="I119" s="1" t="s">
        <v>21</v>
      </c>
      <c r="J119" s="1" t="s">
        <v>22</v>
      </c>
      <c r="K119" s="1" t="s">
        <v>137</v>
      </c>
      <c r="L119" s="1" t="s">
        <v>135</v>
      </c>
      <c r="M119" s="1" t="s">
        <v>145</v>
      </c>
      <c r="N119" s="31">
        <v>2</v>
      </c>
      <c r="O119" s="31">
        <v>1</v>
      </c>
      <c r="P119" s="32">
        <v>2017</v>
      </c>
    </row>
    <row r="120" spans="1:16" x14ac:dyDescent="0.25">
      <c r="A120" s="1" t="s">
        <v>139</v>
      </c>
      <c r="B120" s="31">
        <v>59.9</v>
      </c>
      <c r="C120" s="1" t="s">
        <v>20</v>
      </c>
      <c r="D120" s="2">
        <v>42614</v>
      </c>
      <c r="E120" s="2">
        <v>42644</v>
      </c>
      <c r="F120" s="17">
        <v>1929920</v>
      </c>
      <c r="G120" s="17">
        <v>32219.03</v>
      </c>
      <c r="H120" s="31">
        <v>1</v>
      </c>
      <c r="I120" s="1" t="s">
        <v>21</v>
      </c>
      <c r="J120" s="1" t="s">
        <v>22</v>
      </c>
      <c r="K120" s="1" t="s">
        <v>137</v>
      </c>
      <c r="L120" s="1" t="s">
        <v>135</v>
      </c>
      <c r="M120" s="1" t="s">
        <v>128</v>
      </c>
      <c r="N120" s="31">
        <v>5</v>
      </c>
      <c r="O120" s="31">
        <v>1</v>
      </c>
      <c r="P120" s="32">
        <v>2016</v>
      </c>
    </row>
    <row r="121" spans="1:16" x14ac:dyDescent="0.25">
      <c r="A121" s="1" t="s">
        <v>141</v>
      </c>
      <c r="B121" s="31">
        <v>43.9</v>
      </c>
      <c r="C121" s="1" t="s">
        <v>20</v>
      </c>
      <c r="D121" s="2">
        <v>42675</v>
      </c>
      <c r="E121" s="2">
        <v>42675</v>
      </c>
      <c r="F121" s="17">
        <v>1433026</v>
      </c>
      <c r="G121" s="17">
        <v>32642.959999999999</v>
      </c>
      <c r="H121" s="31">
        <v>1</v>
      </c>
      <c r="I121" s="1" t="s">
        <v>21</v>
      </c>
      <c r="J121" s="1" t="s">
        <v>22</v>
      </c>
      <c r="K121" s="1" t="s">
        <v>137</v>
      </c>
      <c r="L121" s="1" t="s">
        <v>135</v>
      </c>
      <c r="M121" s="1" t="s">
        <v>138</v>
      </c>
      <c r="N121" s="31">
        <v>4</v>
      </c>
      <c r="O121" s="31">
        <v>2</v>
      </c>
      <c r="P121" s="32">
        <v>2000</v>
      </c>
    </row>
    <row r="122" spans="1:16" x14ac:dyDescent="0.25">
      <c r="A122" s="1" t="s">
        <v>141</v>
      </c>
      <c r="B122" s="31">
        <v>43.9</v>
      </c>
      <c r="C122" s="1" t="s">
        <v>20</v>
      </c>
      <c r="D122" s="2">
        <v>42675</v>
      </c>
      <c r="E122" s="2">
        <v>42675</v>
      </c>
      <c r="F122" s="17">
        <v>1433026</v>
      </c>
      <c r="G122" s="17">
        <v>32642.959999999999</v>
      </c>
      <c r="H122" s="31">
        <v>1</v>
      </c>
      <c r="I122" s="1" t="s">
        <v>21</v>
      </c>
      <c r="J122" s="1" t="s">
        <v>22</v>
      </c>
      <c r="K122" s="1" t="s">
        <v>137</v>
      </c>
      <c r="L122" s="1" t="s">
        <v>135</v>
      </c>
      <c r="M122" s="1" t="s">
        <v>138</v>
      </c>
      <c r="N122" s="31">
        <v>4</v>
      </c>
      <c r="O122" s="31">
        <v>2</v>
      </c>
      <c r="P122" s="32">
        <v>2000</v>
      </c>
    </row>
    <row r="123" spans="1:16" x14ac:dyDescent="0.25">
      <c r="A123" s="1" t="s">
        <v>136</v>
      </c>
      <c r="B123" s="31">
        <v>48.8</v>
      </c>
      <c r="C123" s="1" t="s">
        <v>20</v>
      </c>
      <c r="D123" s="2">
        <v>42644</v>
      </c>
      <c r="E123" s="2">
        <v>42644</v>
      </c>
      <c r="F123" s="17">
        <v>1600000</v>
      </c>
      <c r="G123" s="17">
        <v>32786.89</v>
      </c>
      <c r="H123" s="31">
        <v>1</v>
      </c>
      <c r="I123" s="1" t="s">
        <v>21</v>
      </c>
      <c r="J123" s="1" t="s">
        <v>22</v>
      </c>
      <c r="K123" s="1" t="s">
        <v>137</v>
      </c>
      <c r="L123" s="1" t="s">
        <v>135</v>
      </c>
      <c r="M123" s="1" t="s">
        <v>138</v>
      </c>
      <c r="N123" s="31">
        <v>5</v>
      </c>
      <c r="O123" s="31">
        <v>1</v>
      </c>
      <c r="P123" s="32">
        <v>2000</v>
      </c>
    </row>
    <row r="124" spans="1:16" x14ac:dyDescent="0.25">
      <c r="A124" s="1" t="s">
        <v>143</v>
      </c>
      <c r="B124" s="31">
        <v>27.2</v>
      </c>
      <c r="C124" s="1" t="s">
        <v>20</v>
      </c>
      <c r="D124" s="2">
        <v>42767</v>
      </c>
      <c r="E124" s="2">
        <v>42767</v>
      </c>
      <c r="F124" s="17">
        <v>900000</v>
      </c>
      <c r="G124" s="17">
        <v>33088.239999999998</v>
      </c>
      <c r="H124" s="31">
        <v>1</v>
      </c>
      <c r="I124" s="1" t="s">
        <v>21</v>
      </c>
      <c r="J124" s="1" t="s">
        <v>22</v>
      </c>
      <c r="K124" s="1" t="s">
        <v>137</v>
      </c>
      <c r="L124" s="1" t="s">
        <v>135</v>
      </c>
      <c r="M124" s="1" t="s">
        <v>109</v>
      </c>
      <c r="N124" s="31">
        <v>2</v>
      </c>
      <c r="O124" s="31">
        <v>1</v>
      </c>
      <c r="P124" s="32">
        <v>2016</v>
      </c>
    </row>
    <row r="125" spans="1:16" x14ac:dyDescent="0.25">
      <c r="A125" s="1" t="s">
        <v>141</v>
      </c>
      <c r="B125" s="31">
        <v>42.3</v>
      </c>
      <c r="C125" s="1" t="s">
        <v>20</v>
      </c>
      <c r="D125" s="2">
        <v>42795</v>
      </c>
      <c r="E125" s="2">
        <v>42795</v>
      </c>
      <c r="F125" s="17">
        <v>1400000</v>
      </c>
      <c r="G125" s="17">
        <v>33096.93</v>
      </c>
      <c r="H125" s="31">
        <v>1</v>
      </c>
      <c r="I125" s="1" t="s">
        <v>21</v>
      </c>
      <c r="J125" s="1" t="s">
        <v>22</v>
      </c>
      <c r="K125" s="1" t="s">
        <v>137</v>
      </c>
      <c r="L125" s="1" t="s">
        <v>135</v>
      </c>
      <c r="M125" s="1" t="s">
        <v>142</v>
      </c>
      <c r="N125" s="31">
        <v>1</v>
      </c>
      <c r="O125" s="31">
        <v>2</v>
      </c>
      <c r="P125" s="32">
        <v>2006</v>
      </c>
    </row>
    <row r="126" spans="1:16" x14ac:dyDescent="0.25">
      <c r="A126" s="1" t="s">
        <v>141</v>
      </c>
      <c r="B126" s="31">
        <v>42.3</v>
      </c>
      <c r="C126" s="1" t="s">
        <v>20</v>
      </c>
      <c r="D126" s="2">
        <v>42795</v>
      </c>
      <c r="E126" s="2">
        <v>42795</v>
      </c>
      <c r="F126" s="17">
        <v>1400000</v>
      </c>
      <c r="G126" s="17">
        <v>33096.93</v>
      </c>
      <c r="H126" s="31">
        <v>1</v>
      </c>
      <c r="I126" s="1" t="s">
        <v>21</v>
      </c>
      <c r="J126" s="1" t="s">
        <v>22</v>
      </c>
      <c r="K126" s="1" t="s">
        <v>137</v>
      </c>
      <c r="L126" s="1" t="s">
        <v>135</v>
      </c>
      <c r="M126" s="1" t="s">
        <v>142</v>
      </c>
      <c r="N126" s="31">
        <v>1</v>
      </c>
      <c r="O126" s="31">
        <v>2</v>
      </c>
      <c r="P126" s="32">
        <v>2006</v>
      </c>
    </row>
    <row r="127" spans="1:16" x14ac:dyDescent="0.25">
      <c r="A127" s="1" t="s">
        <v>141</v>
      </c>
      <c r="B127" s="31">
        <v>42.6</v>
      </c>
      <c r="C127" s="1" t="s">
        <v>20</v>
      </c>
      <c r="D127" s="2">
        <v>42705</v>
      </c>
      <c r="E127" s="2">
        <v>42705</v>
      </c>
      <c r="F127" s="17">
        <v>1439000</v>
      </c>
      <c r="G127" s="17">
        <v>33779.339999999997</v>
      </c>
      <c r="H127" s="31">
        <v>1</v>
      </c>
      <c r="I127" s="1" t="s">
        <v>21</v>
      </c>
      <c r="J127" s="1" t="s">
        <v>22</v>
      </c>
      <c r="K127" s="1" t="s">
        <v>137</v>
      </c>
      <c r="L127" s="1" t="s">
        <v>135</v>
      </c>
      <c r="M127" s="1" t="s">
        <v>128</v>
      </c>
      <c r="N127" s="31">
        <v>4</v>
      </c>
      <c r="O127" s="31">
        <v>2</v>
      </c>
      <c r="P127" s="32">
        <v>2012</v>
      </c>
    </row>
    <row r="128" spans="1:16" x14ac:dyDescent="0.25">
      <c r="A128" s="1" t="s">
        <v>141</v>
      </c>
      <c r="B128" s="31">
        <v>42.6</v>
      </c>
      <c r="C128" s="1" t="s">
        <v>20</v>
      </c>
      <c r="D128" s="2">
        <v>42705</v>
      </c>
      <c r="E128" s="2">
        <v>42705</v>
      </c>
      <c r="F128" s="17">
        <v>1439000</v>
      </c>
      <c r="G128" s="17">
        <v>33779.339999999997</v>
      </c>
      <c r="H128" s="31">
        <v>1</v>
      </c>
      <c r="I128" s="1" t="s">
        <v>21</v>
      </c>
      <c r="J128" s="1" t="s">
        <v>22</v>
      </c>
      <c r="K128" s="1" t="s">
        <v>137</v>
      </c>
      <c r="L128" s="1" t="s">
        <v>135</v>
      </c>
      <c r="M128" s="1" t="s">
        <v>128</v>
      </c>
      <c r="N128" s="31">
        <v>4</v>
      </c>
      <c r="O128" s="31">
        <v>2</v>
      </c>
      <c r="P128" s="32">
        <v>2012</v>
      </c>
    </row>
    <row r="129" spans="1:16" x14ac:dyDescent="0.25">
      <c r="A129" s="1" t="s">
        <v>141</v>
      </c>
      <c r="B129" s="31">
        <v>56</v>
      </c>
      <c r="C129" s="1" t="s">
        <v>20</v>
      </c>
      <c r="D129" s="2">
        <v>42644</v>
      </c>
      <c r="E129" s="2">
        <v>42644</v>
      </c>
      <c r="F129" s="17">
        <v>1900000</v>
      </c>
      <c r="G129" s="17">
        <v>33928.57</v>
      </c>
      <c r="H129" s="31">
        <v>1</v>
      </c>
      <c r="I129" s="1" t="s">
        <v>21</v>
      </c>
      <c r="J129" s="1" t="s">
        <v>22</v>
      </c>
      <c r="K129" s="1" t="s">
        <v>137</v>
      </c>
      <c r="L129" s="1" t="s">
        <v>135</v>
      </c>
      <c r="M129" s="1" t="s">
        <v>142</v>
      </c>
      <c r="N129" s="31">
        <v>5</v>
      </c>
      <c r="O129" s="31">
        <v>2</v>
      </c>
      <c r="P129" s="32">
        <v>2016</v>
      </c>
    </row>
    <row r="130" spans="1:16" x14ac:dyDescent="0.25">
      <c r="A130" s="1" t="s">
        <v>141</v>
      </c>
      <c r="B130" s="31">
        <v>56</v>
      </c>
      <c r="C130" s="1" t="s">
        <v>20</v>
      </c>
      <c r="D130" s="2">
        <v>42644</v>
      </c>
      <c r="E130" s="2">
        <v>42644</v>
      </c>
      <c r="F130" s="17">
        <v>1900000</v>
      </c>
      <c r="G130" s="17">
        <v>33928.57</v>
      </c>
      <c r="H130" s="31">
        <v>1</v>
      </c>
      <c r="I130" s="1" t="s">
        <v>21</v>
      </c>
      <c r="J130" s="1" t="s">
        <v>22</v>
      </c>
      <c r="K130" s="1" t="s">
        <v>137</v>
      </c>
      <c r="L130" s="1" t="s">
        <v>135</v>
      </c>
      <c r="M130" s="1" t="s">
        <v>142</v>
      </c>
      <c r="N130" s="31">
        <v>5</v>
      </c>
      <c r="O130" s="31">
        <v>2</v>
      </c>
      <c r="P130" s="32">
        <v>2016</v>
      </c>
    </row>
    <row r="131" spans="1:16" x14ac:dyDescent="0.25">
      <c r="A131" s="1" t="s">
        <v>136</v>
      </c>
      <c r="B131" s="31">
        <v>40.6</v>
      </c>
      <c r="C131" s="1" t="s">
        <v>20</v>
      </c>
      <c r="D131" s="2">
        <v>42644</v>
      </c>
      <c r="E131" s="2">
        <v>42644</v>
      </c>
      <c r="F131" s="17">
        <v>1391200</v>
      </c>
      <c r="G131" s="17">
        <v>34266.01</v>
      </c>
      <c r="H131" s="31">
        <v>1</v>
      </c>
      <c r="I131" s="1" t="s">
        <v>21</v>
      </c>
      <c r="J131" s="1" t="s">
        <v>22</v>
      </c>
      <c r="K131" s="1" t="s">
        <v>137</v>
      </c>
      <c r="L131" s="1" t="s">
        <v>135</v>
      </c>
      <c r="M131" s="1" t="s">
        <v>138</v>
      </c>
      <c r="N131" s="31">
        <v>4</v>
      </c>
      <c r="O131" s="31">
        <v>1</v>
      </c>
      <c r="P131" s="32">
        <v>2002</v>
      </c>
    </row>
    <row r="132" spans="1:16" x14ac:dyDescent="0.25">
      <c r="A132" s="1" t="s">
        <v>141</v>
      </c>
      <c r="B132" s="31">
        <v>43.8</v>
      </c>
      <c r="C132" s="1" t="s">
        <v>20</v>
      </c>
      <c r="D132" s="2">
        <v>42795</v>
      </c>
      <c r="E132" s="2">
        <v>42795</v>
      </c>
      <c r="F132" s="17">
        <v>1600000</v>
      </c>
      <c r="G132" s="17">
        <v>36529.68</v>
      </c>
      <c r="H132" s="31">
        <v>1</v>
      </c>
      <c r="I132" s="1" t="s">
        <v>21</v>
      </c>
      <c r="J132" s="1" t="s">
        <v>22</v>
      </c>
      <c r="K132" s="1" t="s">
        <v>137</v>
      </c>
      <c r="L132" s="1" t="s">
        <v>135</v>
      </c>
      <c r="M132" s="1" t="s">
        <v>145</v>
      </c>
      <c r="N132" s="31">
        <v>2</v>
      </c>
      <c r="O132" s="31">
        <v>2</v>
      </c>
      <c r="P132" s="32">
        <v>1999</v>
      </c>
    </row>
    <row r="133" spans="1:16" x14ac:dyDescent="0.25">
      <c r="A133" s="1" t="s">
        <v>141</v>
      </c>
      <c r="B133" s="31">
        <v>43.8</v>
      </c>
      <c r="C133" s="1" t="s">
        <v>20</v>
      </c>
      <c r="D133" s="2">
        <v>42795</v>
      </c>
      <c r="E133" s="2">
        <v>42795</v>
      </c>
      <c r="F133" s="17">
        <v>1600000</v>
      </c>
      <c r="G133" s="17">
        <v>36529.68</v>
      </c>
      <c r="H133" s="31">
        <v>1</v>
      </c>
      <c r="I133" s="1" t="s">
        <v>21</v>
      </c>
      <c r="J133" s="1" t="s">
        <v>22</v>
      </c>
      <c r="K133" s="1" t="s">
        <v>137</v>
      </c>
      <c r="L133" s="1" t="s">
        <v>135</v>
      </c>
      <c r="M133" s="1" t="s">
        <v>145</v>
      </c>
      <c r="N133" s="31">
        <v>2</v>
      </c>
      <c r="O133" s="31">
        <v>2</v>
      </c>
      <c r="P133" s="32">
        <v>1999</v>
      </c>
    </row>
    <row r="134" spans="1:16" x14ac:dyDescent="0.25">
      <c r="A134" s="1" t="s">
        <v>141</v>
      </c>
      <c r="B134" s="31">
        <v>30.4</v>
      </c>
      <c r="C134" s="1" t="s">
        <v>20</v>
      </c>
      <c r="D134" s="2">
        <v>42675</v>
      </c>
      <c r="E134" s="2">
        <v>42675</v>
      </c>
      <c r="F134" s="17">
        <v>1116000</v>
      </c>
      <c r="G134" s="17">
        <v>36710.53</v>
      </c>
      <c r="H134" s="31">
        <v>1</v>
      </c>
      <c r="I134" s="1" t="s">
        <v>21</v>
      </c>
      <c r="J134" s="1" t="s">
        <v>22</v>
      </c>
      <c r="K134" s="1" t="s">
        <v>137</v>
      </c>
      <c r="L134" s="1" t="s">
        <v>135</v>
      </c>
      <c r="M134" s="1" t="s">
        <v>142</v>
      </c>
      <c r="N134" s="31">
        <v>5</v>
      </c>
      <c r="O134" s="31">
        <v>1</v>
      </c>
      <c r="P134" s="32">
        <v>2002</v>
      </c>
    </row>
    <row r="135" spans="1:16" x14ac:dyDescent="0.25">
      <c r="A135" s="1" t="s">
        <v>141</v>
      </c>
      <c r="B135" s="31">
        <v>30</v>
      </c>
      <c r="C135" s="1" t="s">
        <v>20</v>
      </c>
      <c r="D135" s="2">
        <v>42675</v>
      </c>
      <c r="E135" s="2">
        <v>42675</v>
      </c>
      <c r="F135" s="17">
        <v>1144000</v>
      </c>
      <c r="G135" s="17">
        <v>38133.33</v>
      </c>
      <c r="H135" s="31">
        <v>1</v>
      </c>
      <c r="I135" s="1" t="s">
        <v>21</v>
      </c>
      <c r="J135" s="1" t="s">
        <v>22</v>
      </c>
      <c r="K135" s="1" t="s">
        <v>137</v>
      </c>
      <c r="L135" s="1" t="s">
        <v>135</v>
      </c>
      <c r="M135" s="1" t="s">
        <v>145</v>
      </c>
      <c r="N135" s="31">
        <v>3</v>
      </c>
      <c r="O135" s="31">
        <v>2</v>
      </c>
      <c r="P135" s="32">
        <v>2003</v>
      </c>
    </row>
    <row r="136" spans="1:16" x14ac:dyDescent="0.25">
      <c r="A136" s="1" t="s">
        <v>141</v>
      </c>
      <c r="B136" s="31">
        <v>30</v>
      </c>
      <c r="C136" s="1" t="s">
        <v>20</v>
      </c>
      <c r="D136" s="2">
        <v>42675</v>
      </c>
      <c r="E136" s="2">
        <v>42675</v>
      </c>
      <c r="F136" s="17">
        <v>1144000</v>
      </c>
      <c r="G136" s="17">
        <v>38133.33</v>
      </c>
      <c r="H136" s="31">
        <v>1</v>
      </c>
      <c r="I136" s="1" t="s">
        <v>21</v>
      </c>
      <c r="J136" s="1" t="s">
        <v>22</v>
      </c>
      <c r="K136" s="1" t="s">
        <v>137</v>
      </c>
      <c r="L136" s="1" t="s">
        <v>135</v>
      </c>
      <c r="M136" s="1" t="s">
        <v>145</v>
      </c>
      <c r="N136" s="31">
        <v>3</v>
      </c>
      <c r="O136" s="31">
        <v>2</v>
      </c>
      <c r="P136" s="32">
        <v>2003</v>
      </c>
    </row>
    <row r="137" spans="1:16" x14ac:dyDescent="0.25">
      <c r="A137" s="1" t="s">
        <v>136</v>
      </c>
      <c r="B137" s="31">
        <v>49.4</v>
      </c>
      <c r="C137" s="1" t="s">
        <v>20</v>
      </c>
      <c r="D137" s="2">
        <v>42705</v>
      </c>
      <c r="E137" s="2">
        <v>42705</v>
      </c>
      <c r="F137" s="17">
        <v>1900000</v>
      </c>
      <c r="G137" s="17">
        <v>38461.54</v>
      </c>
      <c r="H137" s="31">
        <v>1</v>
      </c>
      <c r="I137" s="1" t="s">
        <v>21</v>
      </c>
      <c r="J137" s="1" t="s">
        <v>22</v>
      </c>
      <c r="K137" s="1" t="s">
        <v>137</v>
      </c>
      <c r="L137" s="1" t="s">
        <v>135</v>
      </c>
      <c r="M137" s="1" t="s">
        <v>145</v>
      </c>
      <c r="N137" s="31">
        <v>2</v>
      </c>
      <c r="O137" s="31">
        <v>1</v>
      </c>
      <c r="P137" s="32">
        <v>2001</v>
      </c>
    </row>
    <row r="138" spans="1:16" x14ac:dyDescent="0.25">
      <c r="A138" s="1" t="s">
        <v>141</v>
      </c>
      <c r="B138" s="31">
        <v>32.799999999999997</v>
      </c>
      <c r="C138" s="1" t="s">
        <v>20</v>
      </c>
      <c r="D138" s="2">
        <v>42736</v>
      </c>
      <c r="E138" s="2">
        <v>42767</v>
      </c>
      <c r="F138" s="17">
        <v>1270000</v>
      </c>
      <c r="G138" s="17">
        <v>38719.51</v>
      </c>
      <c r="H138" s="31">
        <v>1</v>
      </c>
      <c r="I138" s="1" t="s">
        <v>21</v>
      </c>
      <c r="J138" s="1" t="s">
        <v>22</v>
      </c>
      <c r="K138" s="1" t="s">
        <v>137</v>
      </c>
      <c r="L138" s="1" t="s">
        <v>135</v>
      </c>
      <c r="M138" s="1" t="s">
        <v>142</v>
      </c>
      <c r="N138" s="31">
        <v>4</v>
      </c>
      <c r="O138" s="31">
        <v>2</v>
      </c>
      <c r="P138" s="32">
        <v>2006</v>
      </c>
    </row>
    <row r="139" spans="1:16" x14ac:dyDescent="0.25">
      <c r="A139" s="1" t="s">
        <v>141</v>
      </c>
      <c r="B139" s="31">
        <v>32.799999999999997</v>
      </c>
      <c r="C139" s="1" t="s">
        <v>20</v>
      </c>
      <c r="D139" s="2">
        <v>42736</v>
      </c>
      <c r="E139" s="2">
        <v>42767</v>
      </c>
      <c r="F139" s="17">
        <v>1270000</v>
      </c>
      <c r="G139" s="17">
        <v>38719.51</v>
      </c>
      <c r="H139" s="31">
        <v>1</v>
      </c>
      <c r="I139" s="1" t="s">
        <v>21</v>
      </c>
      <c r="J139" s="1" t="s">
        <v>22</v>
      </c>
      <c r="K139" s="1" t="s">
        <v>137</v>
      </c>
      <c r="L139" s="1" t="s">
        <v>135</v>
      </c>
      <c r="M139" s="1" t="s">
        <v>142</v>
      </c>
      <c r="N139" s="31">
        <v>4</v>
      </c>
      <c r="O139" s="31">
        <v>2</v>
      </c>
      <c r="P139" s="32">
        <v>2006</v>
      </c>
    </row>
    <row r="140" spans="1:16" x14ac:dyDescent="0.25">
      <c r="A140" s="1" t="s">
        <v>141</v>
      </c>
      <c r="B140" s="31">
        <v>31.9</v>
      </c>
      <c r="C140" s="1" t="s">
        <v>20</v>
      </c>
      <c r="D140" s="2">
        <v>42736</v>
      </c>
      <c r="E140" s="2">
        <v>42736</v>
      </c>
      <c r="F140" s="17">
        <v>1240000</v>
      </c>
      <c r="G140" s="17">
        <v>38871.47</v>
      </c>
      <c r="H140" s="31">
        <v>1</v>
      </c>
      <c r="I140" s="1" t="s">
        <v>21</v>
      </c>
      <c r="J140" s="1" t="s">
        <v>22</v>
      </c>
      <c r="K140" s="1" t="s">
        <v>137</v>
      </c>
      <c r="L140" s="1" t="s">
        <v>135</v>
      </c>
      <c r="M140" s="1" t="s">
        <v>128</v>
      </c>
      <c r="N140" s="31">
        <v>5</v>
      </c>
      <c r="O140" s="31">
        <v>1</v>
      </c>
      <c r="P140" s="32">
        <v>2007</v>
      </c>
    </row>
    <row r="141" spans="1:16" x14ac:dyDescent="0.25">
      <c r="A141" s="1" t="s">
        <v>158</v>
      </c>
      <c r="B141" s="31">
        <v>42.5</v>
      </c>
      <c r="C141" s="1" t="s">
        <v>20</v>
      </c>
      <c r="D141" s="2">
        <v>42644</v>
      </c>
      <c r="E141" s="2">
        <v>42675</v>
      </c>
      <c r="F141" s="17">
        <v>961250</v>
      </c>
      <c r="G141" s="17">
        <v>22617.65</v>
      </c>
      <c r="H141" s="31">
        <v>1</v>
      </c>
      <c r="I141" s="1" t="s">
        <v>21</v>
      </c>
      <c r="J141" s="1" t="s">
        <v>18</v>
      </c>
      <c r="K141" s="1" t="s">
        <v>156</v>
      </c>
      <c r="L141" s="1" t="s">
        <v>154</v>
      </c>
      <c r="M141" s="1" t="s">
        <v>159</v>
      </c>
      <c r="N141" s="31">
        <v>1</v>
      </c>
      <c r="O141" s="31">
        <v>1</v>
      </c>
      <c r="P141" s="32">
        <v>2016</v>
      </c>
    </row>
    <row r="142" spans="1:16" x14ac:dyDescent="0.25">
      <c r="A142" s="1" t="s">
        <v>158</v>
      </c>
      <c r="B142" s="31">
        <v>42</v>
      </c>
      <c r="C142" s="1" t="s">
        <v>20</v>
      </c>
      <c r="D142" s="2">
        <v>42614</v>
      </c>
      <c r="E142" s="2">
        <v>42644</v>
      </c>
      <c r="F142" s="17">
        <v>988300</v>
      </c>
      <c r="G142" s="17">
        <v>23530.95</v>
      </c>
      <c r="H142" s="31">
        <v>1</v>
      </c>
      <c r="I142" s="1" t="s">
        <v>21</v>
      </c>
      <c r="J142" s="1" t="s">
        <v>18</v>
      </c>
      <c r="K142" s="1" t="s">
        <v>156</v>
      </c>
      <c r="L142" s="1" t="s">
        <v>154</v>
      </c>
      <c r="M142" s="1" t="s">
        <v>159</v>
      </c>
      <c r="N142" s="31">
        <v>1</v>
      </c>
      <c r="O142" s="31">
        <v>1</v>
      </c>
      <c r="P142" s="32">
        <v>2016</v>
      </c>
    </row>
    <row r="143" spans="1:16" x14ac:dyDescent="0.25">
      <c r="A143" s="1" t="s">
        <v>158</v>
      </c>
      <c r="B143" s="31">
        <v>42.1</v>
      </c>
      <c r="C143" s="1" t="s">
        <v>20</v>
      </c>
      <c r="D143" s="2">
        <v>42644</v>
      </c>
      <c r="E143" s="2">
        <v>42675</v>
      </c>
      <c r="F143" s="17">
        <v>998300</v>
      </c>
      <c r="G143" s="17">
        <v>23712.59</v>
      </c>
      <c r="H143" s="31">
        <v>1</v>
      </c>
      <c r="I143" s="1" t="s">
        <v>21</v>
      </c>
      <c r="J143" s="1" t="s">
        <v>18</v>
      </c>
      <c r="K143" s="1" t="s">
        <v>156</v>
      </c>
      <c r="L143" s="1" t="s">
        <v>154</v>
      </c>
      <c r="M143" s="1" t="s">
        <v>159</v>
      </c>
      <c r="N143" s="31">
        <v>1</v>
      </c>
      <c r="O143" s="31">
        <v>1</v>
      </c>
      <c r="P143" s="32">
        <v>2016</v>
      </c>
    </row>
    <row r="144" spans="1:16" x14ac:dyDescent="0.25">
      <c r="A144" s="1" t="s">
        <v>158</v>
      </c>
      <c r="B144" s="31">
        <v>41.2</v>
      </c>
      <c r="C144" s="1" t="s">
        <v>20</v>
      </c>
      <c r="D144" s="2">
        <v>42705</v>
      </c>
      <c r="E144" s="2">
        <v>42795</v>
      </c>
      <c r="F144" s="17">
        <v>980000</v>
      </c>
      <c r="G144" s="17">
        <v>23786.41</v>
      </c>
      <c r="H144" s="31">
        <v>1</v>
      </c>
      <c r="I144" s="1" t="s">
        <v>21</v>
      </c>
      <c r="J144" s="1" t="s">
        <v>18</v>
      </c>
      <c r="K144" s="1" t="s">
        <v>156</v>
      </c>
      <c r="L144" s="1" t="s">
        <v>154</v>
      </c>
      <c r="M144" s="1" t="s">
        <v>159</v>
      </c>
      <c r="N144" s="31">
        <v>3</v>
      </c>
      <c r="O144" s="31">
        <v>1</v>
      </c>
      <c r="P144" s="32">
        <v>2016</v>
      </c>
    </row>
    <row r="145" spans="1:16" x14ac:dyDescent="0.25">
      <c r="A145" s="1" t="s">
        <v>158</v>
      </c>
      <c r="B145" s="31">
        <v>41.3</v>
      </c>
      <c r="C145" s="1" t="s">
        <v>20</v>
      </c>
      <c r="D145" s="2">
        <v>42644</v>
      </c>
      <c r="E145" s="2">
        <v>42644</v>
      </c>
      <c r="F145" s="17">
        <v>982680</v>
      </c>
      <c r="G145" s="17">
        <v>23793.7</v>
      </c>
      <c r="H145" s="31">
        <v>1</v>
      </c>
      <c r="I145" s="1" t="s">
        <v>21</v>
      </c>
      <c r="J145" s="1" t="s">
        <v>18</v>
      </c>
      <c r="K145" s="1" t="s">
        <v>156</v>
      </c>
      <c r="L145" s="1" t="s">
        <v>154</v>
      </c>
      <c r="M145" s="1" t="s">
        <v>159</v>
      </c>
      <c r="N145" s="31">
        <v>1</v>
      </c>
      <c r="O145" s="31">
        <v>2</v>
      </c>
      <c r="P145" s="32">
        <v>2016</v>
      </c>
    </row>
    <row r="146" spans="1:16" x14ac:dyDescent="0.25">
      <c r="A146" s="1" t="s">
        <v>158</v>
      </c>
      <c r="B146" s="31">
        <v>41.3</v>
      </c>
      <c r="C146" s="1" t="s">
        <v>20</v>
      </c>
      <c r="D146" s="2">
        <v>42644</v>
      </c>
      <c r="E146" s="2">
        <v>42644</v>
      </c>
      <c r="F146" s="17">
        <v>982680</v>
      </c>
      <c r="G146" s="17">
        <v>23793.7</v>
      </c>
      <c r="H146" s="31">
        <v>1</v>
      </c>
      <c r="I146" s="1" t="s">
        <v>21</v>
      </c>
      <c r="J146" s="1" t="s">
        <v>18</v>
      </c>
      <c r="K146" s="1" t="s">
        <v>156</v>
      </c>
      <c r="L146" s="1" t="s">
        <v>154</v>
      </c>
      <c r="M146" s="1" t="s">
        <v>159</v>
      </c>
      <c r="N146" s="31">
        <v>1</v>
      </c>
      <c r="O146" s="31">
        <v>2</v>
      </c>
      <c r="P146" s="32">
        <v>2016</v>
      </c>
    </row>
    <row r="147" spans="1:16" x14ac:dyDescent="0.25">
      <c r="A147" s="1" t="s">
        <v>161</v>
      </c>
      <c r="B147" s="31">
        <v>15.6</v>
      </c>
      <c r="C147" s="1" t="s">
        <v>20</v>
      </c>
      <c r="D147" s="2">
        <v>42767</v>
      </c>
      <c r="E147" s="2">
        <v>42767</v>
      </c>
      <c r="F147" s="17">
        <v>453026</v>
      </c>
      <c r="G147" s="17">
        <v>29040.13</v>
      </c>
      <c r="H147" s="31">
        <v>1</v>
      </c>
      <c r="I147" s="1" t="s">
        <v>21</v>
      </c>
      <c r="J147" s="1" t="s">
        <v>22</v>
      </c>
      <c r="K147" s="1" t="s">
        <v>156</v>
      </c>
      <c r="L147" s="1" t="s">
        <v>154</v>
      </c>
      <c r="M147" s="1" t="s">
        <v>157</v>
      </c>
      <c r="N147" s="31">
        <v>1</v>
      </c>
      <c r="O147" s="31">
        <v>1</v>
      </c>
      <c r="P147" s="32">
        <v>2010</v>
      </c>
    </row>
    <row r="148" spans="1:16" x14ac:dyDescent="0.25">
      <c r="A148" s="1" t="s">
        <v>158</v>
      </c>
      <c r="B148" s="31">
        <v>41.6</v>
      </c>
      <c r="C148" s="1" t="s">
        <v>20</v>
      </c>
      <c r="D148" s="2">
        <v>42767</v>
      </c>
      <c r="E148" s="2">
        <v>42767</v>
      </c>
      <c r="F148" s="17">
        <v>1230000</v>
      </c>
      <c r="G148" s="17">
        <v>29567.31</v>
      </c>
      <c r="H148" s="31">
        <v>1</v>
      </c>
      <c r="I148" s="1" t="s">
        <v>21</v>
      </c>
      <c r="J148" s="1" t="s">
        <v>18</v>
      </c>
      <c r="K148" s="1" t="s">
        <v>156</v>
      </c>
      <c r="L148" s="1" t="s">
        <v>154</v>
      </c>
      <c r="M148" s="1" t="s">
        <v>160</v>
      </c>
      <c r="N148" s="31">
        <v>2</v>
      </c>
      <c r="O148" s="31">
        <v>1</v>
      </c>
      <c r="P148" s="32">
        <v>2015</v>
      </c>
    </row>
    <row r="149" spans="1:16" x14ac:dyDescent="0.25">
      <c r="A149" s="1" t="s">
        <v>158</v>
      </c>
      <c r="B149" s="31">
        <v>41</v>
      </c>
      <c r="C149" s="1" t="s">
        <v>20</v>
      </c>
      <c r="D149" s="2">
        <v>42644</v>
      </c>
      <c r="E149" s="2">
        <v>42675</v>
      </c>
      <c r="F149" s="17">
        <v>1219800</v>
      </c>
      <c r="G149" s="17">
        <v>29751.22</v>
      </c>
      <c r="H149" s="31">
        <v>1</v>
      </c>
      <c r="I149" s="1" t="s">
        <v>21</v>
      </c>
      <c r="J149" s="1" t="s">
        <v>18</v>
      </c>
      <c r="K149" s="1" t="s">
        <v>156</v>
      </c>
      <c r="L149" s="1" t="s">
        <v>154</v>
      </c>
      <c r="M149" s="1" t="s">
        <v>159</v>
      </c>
      <c r="N149" s="31">
        <v>2</v>
      </c>
      <c r="O149" s="31">
        <v>2</v>
      </c>
      <c r="P149" s="32">
        <v>2016</v>
      </c>
    </row>
    <row r="150" spans="1:16" x14ac:dyDescent="0.25">
      <c r="A150" s="1" t="s">
        <v>158</v>
      </c>
      <c r="B150" s="31">
        <v>41</v>
      </c>
      <c r="C150" s="1" t="s">
        <v>20</v>
      </c>
      <c r="D150" s="2">
        <v>42644</v>
      </c>
      <c r="E150" s="2">
        <v>42675</v>
      </c>
      <c r="F150" s="17">
        <v>1219800</v>
      </c>
      <c r="G150" s="17">
        <v>29751.22</v>
      </c>
      <c r="H150" s="31">
        <v>1</v>
      </c>
      <c r="I150" s="1" t="s">
        <v>21</v>
      </c>
      <c r="J150" s="1" t="s">
        <v>18</v>
      </c>
      <c r="K150" s="1" t="s">
        <v>156</v>
      </c>
      <c r="L150" s="1" t="s">
        <v>154</v>
      </c>
      <c r="M150" s="1" t="s">
        <v>159</v>
      </c>
      <c r="N150" s="31">
        <v>2</v>
      </c>
      <c r="O150" s="31">
        <v>2</v>
      </c>
      <c r="P150" s="32">
        <v>2016</v>
      </c>
    </row>
    <row r="151" spans="1:16" x14ac:dyDescent="0.25">
      <c r="A151" s="1" t="s">
        <v>155</v>
      </c>
      <c r="B151" s="31">
        <v>47.4</v>
      </c>
      <c r="C151" s="1" t="s">
        <v>20</v>
      </c>
      <c r="D151" s="2">
        <v>42614</v>
      </c>
      <c r="E151" s="2">
        <v>42644</v>
      </c>
      <c r="F151" s="17">
        <v>1500000</v>
      </c>
      <c r="G151" s="17">
        <v>31645.57</v>
      </c>
      <c r="H151" s="31">
        <v>1</v>
      </c>
      <c r="I151" s="1" t="s">
        <v>21</v>
      </c>
      <c r="J151" s="1" t="s">
        <v>22</v>
      </c>
      <c r="K151" s="1" t="s">
        <v>156</v>
      </c>
      <c r="L151" s="1" t="s">
        <v>154</v>
      </c>
      <c r="M151" s="1" t="s">
        <v>157</v>
      </c>
      <c r="N151" s="31">
        <v>1</v>
      </c>
      <c r="O151" s="31">
        <v>2</v>
      </c>
      <c r="P151" s="32">
        <v>2005</v>
      </c>
    </row>
    <row r="152" spans="1:16" x14ac:dyDescent="0.25">
      <c r="A152" s="1" t="s">
        <v>155</v>
      </c>
      <c r="B152" s="31">
        <v>47.4</v>
      </c>
      <c r="C152" s="1" t="s">
        <v>20</v>
      </c>
      <c r="D152" s="2">
        <v>42614</v>
      </c>
      <c r="E152" s="2">
        <v>42644</v>
      </c>
      <c r="F152" s="17">
        <v>1500000</v>
      </c>
      <c r="G152" s="17">
        <v>31645.57</v>
      </c>
      <c r="H152" s="31">
        <v>1</v>
      </c>
      <c r="I152" s="1" t="s">
        <v>21</v>
      </c>
      <c r="J152" s="1" t="s">
        <v>22</v>
      </c>
      <c r="K152" s="1" t="s">
        <v>156</v>
      </c>
      <c r="L152" s="1" t="s">
        <v>154</v>
      </c>
      <c r="M152" s="1" t="s">
        <v>157</v>
      </c>
      <c r="N152" s="31">
        <v>1</v>
      </c>
      <c r="O152" s="31">
        <v>2</v>
      </c>
      <c r="P152" s="32">
        <v>2005</v>
      </c>
    </row>
    <row r="153" spans="1:16" x14ac:dyDescent="0.25">
      <c r="A153" s="1" t="s">
        <v>163</v>
      </c>
      <c r="B153" s="31">
        <v>57.8</v>
      </c>
      <c r="C153" s="1" t="s">
        <v>20</v>
      </c>
      <c r="D153" s="2">
        <v>42795</v>
      </c>
      <c r="E153" s="2">
        <v>42795</v>
      </c>
      <c r="F153" s="17">
        <v>1231000</v>
      </c>
      <c r="G153" s="17">
        <v>21297.58</v>
      </c>
      <c r="H153" s="31">
        <v>1</v>
      </c>
      <c r="I153" s="1" t="s">
        <v>21</v>
      </c>
      <c r="J153" s="1" t="s">
        <v>32</v>
      </c>
      <c r="K153" s="1" t="s">
        <v>164</v>
      </c>
      <c r="L153" s="1" t="s">
        <v>162</v>
      </c>
      <c r="M153" s="1" t="s">
        <v>168</v>
      </c>
      <c r="N153" s="31">
        <v>2</v>
      </c>
      <c r="O153" s="31">
        <v>1</v>
      </c>
      <c r="P153" s="32">
        <v>2002</v>
      </c>
    </row>
    <row r="154" spans="1:16" x14ac:dyDescent="0.25">
      <c r="A154" s="1" t="s">
        <v>163</v>
      </c>
      <c r="B154" s="31">
        <v>55</v>
      </c>
      <c r="C154" s="1" t="s">
        <v>20</v>
      </c>
      <c r="D154" s="2">
        <v>42795</v>
      </c>
      <c r="E154" s="2">
        <v>42795</v>
      </c>
      <c r="F154" s="17">
        <v>1320000</v>
      </c>
      <c r="G154" s="17">
        <v>24000</v>
      </c>
      <c r="H154" s="31">
        <v>1</v>
      </c>
      <c r="I154" s="1" t="s">
        <v>21</v>
      </c>
      <c r="J154" s="1" t="s">
        <v>32</v>
      </c>
      <c r="K154" s="1" t="s">
        <v>164</v>
      </c>
      <c r="L154" s="1" t="s">
        <v>162</v>
      </c>
      <c r="M154" s="1" t="s">
        <v>167</v>
      </c>
      <c r="N154" s="31">
        <v>1</v>
      </c>
      <c r="O154" s="31">
        <v>1</v>
      </c>
      <c r="P154" s="32">
        <v>2015</v>
      </c>
    </row>
    <row r="155" spans="1:16" x14ac:dyDescent="0.25">
      <c r="A155" s="1" t="s">
        <v>165</v>
      </c>
      <c r="B155" s="31">
        <v>33.4</v>
      </c>
      <c r="C155" s="1" t="s">
        <v>20</v>
      </c>
      <c r="D155" s="2">
        <v>42767</v>
      </c>
      <c r="E155" s="2">
        <v>42767</v>
      </c>
      <c r="F155" s="17">
        <v>942400</v>
      </c>
      <c r="G155" s="17">
        <v>28215.57</v>
      </c>
      <c r="H155" s="31">
        <v>1</v>
      </c>
      <c r="I155" s="1" t="s">
        <v>21</v>
      </c>
      <c r="J155" s="1" t="s">
        <v>32</v>
      </c>
      <c r="K155" s="1" t="s">
        <v>164</v>
      </c>
      <c r="L155" s="1" t="s">
        <v>162</v>
      </c>
      <c r="M155" s="1" t="s">
        <v>166</v>
      </c>
      <c r="N155" s="31">
        <v>1</v>
      </c>
      <c r="O155" s="31">
        <v>1</v>
      </c>
      <c r="P155" s="32">
        <v>2015</v>
      </c>
    </row>
    <row r="156" spans="1:16" x14ac:dyDescent="0.25">
      <c r="A156" s="1" t="s">
        <v>170</v>
      </c>
      <c r="B156" s="31">
        <v>40.700000000000003</v>
      </c>
      <c r="C156" s="1" t="s">
        <v>20</v>
      </c>
      <c r="D156" s="2">
        <v>42644</v>
      </c>
      <c r="E156" s="2">
        <v>42675</v>
      </c>
      <c r="F156" s="17">
        <v>1000000</v>
      </c>
      <c r="G156" s="17">
        <v>24570.02</v>
      </c>
      <c r="H156" s="31">
        <v>1</v>
      </c>
      <c r="I156" s="1" t="s">
        <v>21</v>
      </c>
      <c r="J156" s="1" t="s">
        <v>22</v>
      </c>
      <c r="K156" s="1" t="s">
        <v>171</v>
      </c>
      <c r="L156" s="1" t="s">
        <v>169</v>
      </c>
      <c r="M156" s="1" t="s">
        <v>62</v>
      </c>
      <c r="N156" s="31">
        <v>1</v>
      </c>
      <c r="O156" s="31">
        <v>2</v>
      </c>
      <c r="P156" s="32">
        <v>2014</v>
      </c>
    </row>
    <row r="157" spans="1:16" x14ac:dyDescent="0.25">
      <c r="A157" s="1" t="s">
        <v>170</v>
      </c>
      <c r="B157" s="31">
        <v>40.700000000000003</v>
      </c>
      <c r="C157" s="1" t="s">
        <v>20</v>
      </c>
      <c r="D157" s="2">
        <v>42644</v>
      </c>
      <c r="E157" s="2">
        <v>42675</v>
      </c>
      <c r="F157" s="17">
        <v>1000000</v>
      </c>
      <c r="G157" s="17">
        <v>24570.02</v>
      </c>
      <c r="H157" s="31">
        <v>1</v>
      </c>
      <c r="I157" s="1" t="s">
        <v>21</v>
      </c>
      <c r="J157" s="1" t="s">
        <v>22</v>
      </c>
      <c r="K157" s="1" t="s">
        <v>171</v>
      </c>
      <c r="L157" s="1" t="s">
        <v>169</v>
      </c>
      <c r="M157" s="1" t="s">
        <v>62</v>
      </c>
      <c r="N157" s="31">
        <v>1</v>
      </c>
      <c r="O157" s="31">
        <v>2</v>
      </c>
      <c r="P157" s="32">
        <v>2014</v>
      </c>
    </row>
    <row r="158" spans="1:16" x14ac:dyDescent="0.25">
      <c r="A158" s="1" t="s">
        <v>173</v>
      </c>
      <c r="B158" s="31">
        <v>51.1</v>
      </c>
      <c r="C158" s="1" t="s">
        <v>20</v>
      </c>
      <c r="D158" s="2">
        <v>42767</v>
      </c>
      <c r="E158" s="2">
        <v>42795</v>
      </c>
      <c r="F158" s="17">
        <v>1280000</v>
      </c>
      <c r="G158" s="17">
        <v>25048.92</v>
      </c>
      <c r="H158" s="31">
        <v>1</v>
      </c>
      <c r="I158" s="1" t="s">
        <v>21</v>
      </c>
      <c r="J158" s="1" t="s">
        <v>22</v>
      </c>
      <c r="K158" s="1"/>
      <c r="L158" s="1" t="s">
        <v>172</v>
      </c>
      <c r="M158" s="1" t="s">
        <v>174</v>
      </c>
      <c r="N158" s="31">
        <v>2</v>
      </c>
      <c r="O158" s="31">
        <v>1</v>
      </c>
      <c r="P158" s="32">
        <v>2006</v>
      </c>
    </row>
    <row r="159" spans="1:16" x14ac:dyDescent="0.25">
      <c r="A159" s="1" t="s">
        <v>198</v>
      </c>
      <c r="B159" s="31">
        <v>96.6</v>
      </c>
      <c r="C159" s="1" t="s">
        <v>20</v>
      </c>
      <c r="D159" s="2">
        <v>42675</v>
      </c>
      <c r="E159" s="2">
        <v>42705</v>
      </c>
      <c r="F159" s="17">
        <v>2420000</v>
      </c>
      <c r="G159" s="17">
        <v>25051.759999999998</v>
      </c>
      <c r="H159" s="31">
        <v>1</v>
      </c>
      <c r="I159" s="1" t="s">
        <v>21</v>
      </c>
      <c r="J159" s="1" t="s">
        <v>22</v>
      </c>
      <c r="K159" s="1"/>
      <c r="L159" s="1" t="s">
        <v>172</v>
      </c>
      <c r="M159" s="1" t="s">
        <v>176</v>
      </c>
      <c r="N159" s="31">
        <v>2</v>
      </c>
      <c r="O159" s="31">
        <v>2</v>
      </c>
      <c r="P159" s="32">
        <v>2010</v>
      </c>
    </row>
    <row r="160" spans="1:16" x14ac:dyDescent="0.25">
      <c r="A160" s="1" t="s">
        <v>198</v>
      </c>
      <c r="B160" s="31">
        <v>96.6</v>
      </c>
      <c r="C160" s="1" t="s">
        <v>20</v>
      </c>
      <c r="D160" s="2">
        <v>42675</v>
      </c>
      <c r="E160" s="2">
        <v>42705</v>
      </c>
      <c r="F160" s="17">
        <v>2420000</v>
      </c>
      <c r="G160" s="17">
        <v>25051.759999999998</v>
      </c>
      <c r="H160" s="31">
        <v>1</v>
      </c>
      <c r="I160" s="1" t="s">
        <v>21</v>
      </c>
      <c r="J160" s="1" t="s">
        <v>22</v>
      </c>
      <c r="K160" s="1"/>
      <c r="L160" s="1" t="s">
        <v>172</v>
      </c>
      <c r="M160" s="1" t="s">
        <v>176</v>
      </c>
      <c r="N160" s="31">
        <v>2</v>
      </c>
      <c r="O160" s="31">
        <v>2</v>
      </c>
      <c r="P160" s="32">
        <v>2010</v>
      </c>
    </row>
    <row r="161" spans="1:16" x14ac:dyDescent="0.25">
      <c r="A161" s="1" t="s">
        <v>173</v>
      </c>
      <c r="B161" s="31">
        <v>50.7</v>
      </c>
      <c r="C161" s="1" t="s">
        <v>20</v>
      </c>
      <c r="D161" s="2">
        <v>42675</v>
      </c>
      <c r="E161" s="2">
        <v>42675</v>
      </c>
      <c r="F161" s="17">
        <v>1280000</v>
      </c>
      <c r="G161" s="17">
        <v>25246.55</v>
      </c>
      <c r="H161" s="31">
        <v>1</v>
      </c>
      <c r="I161" s="1" t="s">
        <v>21</v>
      </c>
      <c r="J161" s="1" t="s">
        <v>22</v>
      </c>
      <c r="K161" s="1"/>
      <c r="L161" s="1" t="s">
        <v>172</v>
      </c>
      <c r="M161" s="1" t="s">
        <v>174</v>
      </c>
      <c r="N161" s="31">
        <v>4</v>
      </c>
      <c r="O161" s="31">
        <v>1</v>
      </c>
      <c r="P161" s="32">
        <v>2009</v>
      </c>
    </row>
    <row r="162" spans="1:16" x14ac:dyDescent="0.25">
      <c r="A162" s="1" t="s">
        <v>185</v>
      </c>
      <c r="B162" s="31">
        <v>52.9</v>
      </c>
      <c r="C162" s="1" t="s">
        <v>20</v>
      </c>
      <c r="D162" s="2">
        <v>42705</v>
      </c>
      <c r="E162" s="2">
        <v>42705</v>
      </c>
      <c r="F162" s="17">
        <v>1340000</v>
      </c>
      <c r="G162" s="17">
        <v>25330.81</v>
      </c>
      <c r="H162" s="31">
        <v>1</v>
      </c>
      <c r="I162" s="1" t="s">
        <v>21</v>
      </c>
      <c r="J162" s="1" t="s">
        <v>22</v>
      </c>
      <c r="K162" s="1"/>
      <c r="L162" s="1" t="s">
        <v>172</v>
      </c>
      <c r="M162" s="1" t="s">
        <v>187</v>
      </c>
      <c r="N162" s="31">
        <v>2</v>
      </c>
      <c r="O162" s="31">
        <v>2</v>
      </c>
      <c r="P162" s="32">
        <v>2009</v>
      </c>
    </row>
    <row r="163" spans="1:16" x14ac:dyDescent="0.25">
      <c r="A163" s="1" t="s">
        <v>185</v>
      </c>
      <c r="B163" s="31">
        <v>52.9</v>
      </c>
      <c r="C163" s="1" t="s">
        <v>20</v>
      </c>
      <c r="D163" s="2">
        <v>42705</v>
      </c>
      <c r="E163" s="2">
        <v>42705</v>
      </c>
      <c r="F163" s="17">
        <v>1340000</v>
      </c>
      <c r="G163" s="17">
        <v>25330.81</v>
      </c>
      <c r="H163" s="31">
        <v>1</v>
      </c>
      <c r="I163" s="1" t="s">
        <v>21</v>
      </c>
      <c r="J163" s="1" t="s">
        <v>22</v>
      </c>
      <c r="K163" s="1"/>
      <c r="L163" s="1" t="s">
        <v>172</v>
      </c>
      <c r="M163" s="1" t="s">
        <v>187</v>
      </c>
      <c r="N163" s="31">
        <v>2</v>
      </c>
      <c r="O163" s="31">
        <v>2</v>
      </c>
      <c r="P163" s="32">
        <v>2009</v>
      </c>
    </row>
    <row r="164" spans="1:16" x14ac:dyDescent="0.25">
      <c r="A164" s="1" t="s">
        <v>173</v>
      </c>
      <c r="B164" s="31">
        <v>65.7</v>
      </c>
      <c r="C164" s="1" t="s">
        <v>20</v>
      </c>
      <c r="D164" s="2">
        <v>42644</v>
      </c>
      <c r="E164" s="2">
        <v>42644</v>
      </c>
      <c r="F164" s="17">
        <v>1680000</v>
      </c>
      <c r="G164" s="17">
        <v>25570.78</v>
      </c>
      <c r="H164" s="31">
        <v>1</v>
      </c>
      <c r="I164" s="1" t="s">
        <v>21</v>
      </c>
      <c r="J164" s="1" t="s">
        <v>22</v>
      </c>
      <c r="K164" s="1"/>
      <c r="L164" s="1" t="s">
        <v>172</v>
      </c>
      <c r="M164" s="1" t="s">
        <v>192</v>
      </c>
      <c r="N164" s="31">
        <v>9</v>
      </c>
      <c r="O164" s="31">
        <v>1</v>
      </c>
      <c r="P164" s="32">
        <v>2016</v>
      </c>
    </row>
    <row r="165" spans="1:16" x14ac:dyDescent="0.25">
      <c r="A165" s="1" t="s">
        <v>209</v>
      </c>
      <c r="B165" s="31">
        <v>46.6</v>
      </c>
      <c r="C165" s="1" t="s">
        <v>20</v>
      </c>
      <c r="D165" s="2">
        <v>42705</v>
      </c>
      <c r="E165" s="2">
        <v>42705</v>
      </c>
      <c r="F165" s="17">
        <v>1192000</v>
      </c>
      <c r="G165" s="17">
        <v>25579.4</v>
      </c>
      <c r="H165" s="31">
        <v>1</v>
      </c>
      <c r="I165" s="1" t="s">
        <v>21</v>
      </c>
      <c r="J165" s="1" t="s">
        <v>22</v>
      </c>
      <c r="K165" s="1"/>
      <c r="L165" s="1" t="s">
        <v>172</v>
      </c>
      <c r="M165" s="1" t="s">
        <v>213</v>
      </c>
      <c r="N165" s="31">
        <v>1</v>
      </c>
      <c r="O165" s="31">
        <v>1</v>
      </c>
      <c r="P165" s="32">
        <v>2016</v>
      </c>
    </row>
    <row r="166" spans="1:16" x14ac:dyDescent="0.25">
      <c r="A166" s="1" t="s">
        <v>184</v>
      </c>
      <c r="B166" s="31">
        <v>62</v>
      </c>
      <c r="C166" s="1" t="s">
        <v>20</v>
      </c>
      <c r="D166" s="2">
        <v>42736</v>
      </c>
      <c r="E166" s="2">
        <v>42767</v>
      </c>
      <c r="F166" s="17">
        <v>1600000</v>
      </c>
      <c r="G166" s="17">
        <v>25806.45</v>
      </c>
      <c r="H166" s="31">
        <v>1</v>
      </c>
      <c r="I166" s="1" t="s">
        <v>21</v>
      </c>
      <c r="J166" s="1" t="s">
        <v>32</v>
      </c>
      <c r="K166" s="1"/>
      <c r="L166" s="1" t="s">
        <v>172</v>
      </c>
      <c r="M166" s="1" t="s">
        <v>183</v>
      </c>
      <c r="N166" s="31">
        <v>2</v>
      </c>
      <c r="O166" s="31">
        <v>1</v>
      </c>
      <c r="P166" s="32">
        <v>2002</v>
      </c>
    </row>
    <row r="167" spans="1:16" x14ac:dyDescent="0.25">
      <c r="A167" s="1" t="s">
        <v>185</v>
      </c>
      <c r="B167" s="31">
        <v>56</v>
      </c>
      <c r="C167" s="1" t="s">
        <v>20</v>
      </c>
      <c r="D167" s="2">
        <v>42644</v>
      </c>
      <c r="E167" s="2">
        <v>42644</v>
      </c>
      <c r="F167" s="17">
        <v>1450000</v>
      </c>
      <c r="G167" s="17">
        <v>25892.86</v>
      </c>
      <c r="H167" s="31">
        <v>1</v>
      </c>
      <c r="I167" s="1" t="s">
        <v>21</v>
      </c>
      <c r="J167" s="1" t="s">
        <v>22</v>
      </c>
      <c r="K167" s="1"/>
      <c r="L167" s="1" t="s">
        <v>172</v>
      </c>
      <c r="M167" s="1" t="s">
        <v>174</v>
      </c>
      <c r="N167" s="31">
        <v>5</v>
      </c>
      <c r="O167" s="31">
        <v>1</v>
      </c>
      <c r="P167" s="32">
        <v>2012</v>
      </c>
    </row>
    <row r="168" spans="1:16" x14ac:dyDescent="0.25">
      <c r="A168" s="1" t="s">
        <v>182</v>
      </c>
      <c r="B168" s="31">
        <v>46.3</v>
      </c>
      <c r="C168" s="1" t="s">
        <v>20</v>
      </c>
      <c r="D168" s="2">
        <v>42644</v>
      </c>
      <c r="E168" s="2">
        <v>42644</v>
      </c>
      <c r="F168" s="17">
        <v>1200000</v>
      </c>
      <c r="G168" s="17">
        <v>25917.93</v>
      </c>
      <c r="H168" s="31">
        <v>1</v>
      </c>
      <c r="I168" s="1" t="s">
        <v>21</v>
      </c>
      <c r="J168" s="1" t="s">
        <v>22</v>
      </c>
      <c r="K168" s="1"/>
      <c r="L168" s="1" t="s">
        <v>172</v>
      </c>
      <c r="M168" s="1" t="s">
        <v>183</v>
      </c>
      <c r="N168" s="31">
        <v>1</v>
      </c>
      <c r="O168" s="31">
        <v>1</v>
      </c>
      <c r="P168" s="32">
        <v>2013</v>
      </c>
    </row>
    <row r="169" spans="1:16" x14ac:dyDescent="0.25">
      <c r="A169" s="1" t="s">
        <v>208</v>
      </c>
      <c r="B169" s="31">
        <v>46.3</v>
      </c>
      <c r="C169" s="1" t="s">
        <v>20</v>
      </c>
      <c r="D169" s="2">
        <v>42705</v>
      </c>
      <c r="E169" s="2">
        <v>42705</v>
      </c>
      <c r="F169" s="17">
        <v>1200000</v>
      </c>
      <c r="G169" s="17">
        <v>25917.93</v>
      </c>
      <c r="H169" s="31">
        <v>1</v>
      </c>
      <c r="I169" s="1" t="s">
        <v>21</v>
      </c>
      <c r="J169" s="1" t="s">
        <v>32</v>
      </c>
      <c r="K169" s="1"/>
      <c r="L169" s="1" t="s">
        <v>172</v>
      </c>
      <c r="M169" s="1" t="s">
        <v>194</v>
      </c>
      <c r="N169" s="31">
        <v>5</v>
      </c>
      <c r="O169" s="31">
        <v>1</v>
      </c>
      <c r="P169" s="32">
        <v>2009</v>
      </c>
    </row>
    <row r="170" spans="1:16" x14ac:dyDescent="0.25">
      <c r="A170" s="1" t="s">
        <v>186</v>
      </c>
      <c r="B170" s="31">
        <v>55.7</v>
      </c>
      <c r="C170" s="1" t="s">
        <v>20</v>
      </c>
      <c r="D170" s="2">
        <v>42644</v>
      </c>
      <c r="E170" s="2">
        <v>42644</v>
      </c>
      <c r="F170" s="17">
        <v>1450000</v>
      </c>
      <c r="G170" s="17">
        <v>26032.32</v>
      </c>
      <c r="H170" s="31">
        <v>1</v>
      </c>
      <c r="I170" s="1" t="s">
        <v>21</v>
      </c>
      <c r="J170" s="1" t="s">
        <v>22</v>
      </c>
      <c r="K170" s="1"/>
      <c r="L170" s="1" t="s">
        <v>172</v>
      </c>
      <c r="M170" s="1"/>
      <c r="N170" s="31">
        <v>5</v>
      </c>
      <c r="O170" s="31">
        <v>1</v>
      </c>
      <c r="P170" s="32">
        <v>2002</v>
      </c>
    </row>
    <row r="171" spans="1:16" x14ac:dyDescent="0.25">
      <c r="A171" s="1" t="s">
        <v>185</v>
      </c>
      <c r="B171" s="31">
        <v>50.6</v>
      </c>
      <c r="C171" s="1" t="s">
        <v>20</v>
      </c>
      <c r="D171" s="2">
        <v>42675</v>
      </c>
      <c r="E171" s="2">
        <v>42675</v>
      </c>
      <c r="F171" s="17">
        <v>1320000</v>
      </c>
      <c r="G171" s="17">
        <v>26086.959999999999</v>
      </c>
      <c r="H171" s="31">
        <v>1</v>
      </c>
      <c r="I171" s="1" t="s">
        <v>21</v>
      </c>
      <c r="J171" s="1" t="s">
        <v>22</v>
      </c>
      <c r="K171" s="1"/>
      <c r="L171" s="1" t="s">
        <v>172</v>
      </c>
      <c r="M171" s="1" t="s">
        <v>174</v>
      </c>
      <c r="N171" s="31">
        <v>1</v>
      </c>
      <c r="O171" s="31">
        <v>1</v>
      </c>
      <c r="P171" s="32">
        <v>2012</v>
      </c>
    </row>
    <row r="172" spans="1:16" x14ac:dyDescent="0.25">
      <c r="A172" s="1" t="s">
        <v>185</v>
      </c>
      <c r="B172" s="31">
        <v>32.799999999999997</v>
      </c>
      <c r="C172" s="1" t="s">
        <v>20</v>
      </c>
      <c r="D172" s="2">
        <v>42644</v>
      </c>
      <c r="E172" s="2">
        <v>42644</v>
      </c>
      <c r="F172" s="17">
        <v>870000</v>
      </c>
      <c r="G172" s="17">
        <v>26524.39</v>
      </c>
      <c r="H172" s="31">
        <v>1</v>
      </c>
      <c r="I172" s="1" t="s">
        <v>21</v>
      </c>
      <c r="J172" s="1" t="s">
        <v>22</v>
      </c>
      <c r="K172" s="1"/>
      <c r="L172" s="1" t="s">
        <v>172</v>
      </c>
      <c r="M172" s="1" t="s">
        <v>187</v>
      </c>
      <c r="N172" s="31">
        <v>2</v>
      </c>
      <c r="O172" s="31">
        <v>1</v>
      </c>
      <c r="P172" s="32">
        <v>2009</v>
      </c>
    </row>
    <row r="173" spans="1:16" x14ac:dyDescent="0.25">
      <c r="A173" s="1" t="s">
        <v>198</v>
      </c>
      <c r="B173" s="31">
        <v>42</v>
      </c>
      <c r="C173" s="1" t="s">
        <v>20</v>
      </c>
      <c r="D173" s="2">
        <v>42644</v>
      </c>
      <c r="E173" s="2">
        <v>42644</v>
      </c>
      <c r="F173" s="17">
        <v>1120000</v>
      </c>
      <c r="G173" s="17">
        <v>26666.67</v>
      </c>
      <c r="H173" s="31">
        <v>1</v>
      </c>
      <c r="I173" s="1" t="s">
        <v>21</v>
      </c>
      <c r="J173" s="1" t="s">
        <v>22</v>
      </c>
      <c r="K173" s="1"/>
      <c r="L173" s="1" t="s">
        <v>172</v>
      </c>
      <c r="M173" s="1" t="s">
        <v>90</v>
      </c>
      <c r="N173" s="31">
        <v>1</v>
      </c>
      <c r="O173" s="31">
        <v>1</v>
      </c>
      <c r="P173" s="32">
        <v>2008</v>
      </c>
    </row>
    <row r="174" spans="1:16" x14ac:dyDescent="0.25">
      <c r="A174" s="1" t="s">
        <v>186</v>
      </c>
      <c r="B174" s="31">
        <v>30</v>
      </c>
      <c r="C174" s="1" t="s">
        <v>20</v>
      </c>
      <c r="D174" s="2">
        <v>42736</v>
      </c>
      <c r="E174" s="2">
        <v>42767</v>
      </c>
      <c r="F174" s="17">
        <v>800000</v>
      </c>
      <c r="G174" s="17">
        <v>26666.67</v>
      </c>
      <c r="H174" s="31">
        <v>1</v>
      </c>
      <c r="I174" s="1" t="s">
        <v>21</v>
      </c>
      <c r="J174" s="1" t="s">
        <v>22</v>
      </c>
      <c r="K174" s="1"/>
      <c r="L174" s="1" t="s">
        <v>172</v>
      </c>
      <c r="M174" s="1" t="s">
        <v>189</v>
      </c>
      <c r="N174" s="31">
        <v>3</v>
      </c>
      <c r="O174" s="31">
        <v>1</v>
      </c>
      <c r="P174" s="32">
        <v>2008</v>
      </c>
    </row>
    <row r="175" spans="1:16" x14ac:dyDescent="0.25">
      <c r="A175" s="1" t="s">
        <v>175</v>
      </c>
      <c r="B175" s="31">
        <v>29.8</v>
      </c>
      <c r="C175" s="1" t="s">
        <v>20</v>
      </c>
      <c r="D175" s="2">
        <v>42705</v>
      </c>
      <c r="E175" s="2">
        <v>42705</v>
      </c>
      <c r="F175" s="17">
        <v>795000</v>
      </c>
      <c r="G175" s="17">
        <v>26677.85</v>
      </c>
      <c r="H175" s="31">
        <v>1</v>
      </c>
      <c r="I175" s="1" t="s">
        <v>21</v>
      </c>
      <c r="J175" s="1" t="s">
        <v>22</v>
      </c>
      <c r="K175" s="1"/>
      <c r="L175" s="1" t="s">
        <v>172</v>
      </c>
      <c r="M175" s="1" t="s">
        <v>196</v>
      </c>
      <c r="N175" s="31">
        <v>2</v>
      </c>
      <c r="O175" s="31">
        <v>1</v>
      </c>
      <c r="P175" s="32">
        <v>2011</v>
      </c>
    </row>
    <row r="176" spans="1:16" x14ac:dyDescent="0.25">
      <c r="A176" s="1" t="s">
        <v>184</v>
      </c>
      <c r="B176" s="31">
        <v>40.9</v>
      </c>
      <c r="C176" s="1" t="s">
        <v>20</v>
      </c>
      <c r="D176" s="2">
        <v>42705</v>
      </c>
      <c r="E176" s="2">
        <v>42705</v>
      </c>
      <c r="F176" s="17">
        <v>1100000</v>
      </c>
      <c r="G176" s="17">
        <v>26894.87</v>
      </c>
      <c r="H176" s="31">
        <v>1</v>
      </c>
      <c r="I176" s="1" t="s">
        <v>21</v>
      </c>
      <c r="J176" s="1" t="s">
        <v>22</v>
      </c>
      <c r="K176" s="1"/>
      <c r="L176" s="1" t="s">
        <v>172</v>
      </c>
      <c r="M176" s="1" t="s">
        <v>128</v>
      </c>
      <c r="N176" s="31">
        <v>1</v>
      </c>
      <c r="O176" s="31">
        <v>1</v>
      </c>
      <c r="P176" s="32">
        <v>2001</v>
      </c>
    </row>
    <row r="177" spans="1:16" x14ac:dyDescent="0.25">
      <c r="A177" s="1" t="s">
        <v>203</v>
      </c>
      <c r="B177" s="31">
        <v>258.5</v>
      </c>
      <c r="C177" s="1" t="s">
        <v>20</v>
      </c>
      <c r="D177" s="2">
        <v>42186</v>
      </c>
      <c r="E177" s="2">
        <v>42767</v>
      </c>
      <c r="F177" s="17">
        <v>6982190</v>
      </c>
      <c r="G177" s="17">
        <v>27010.41</v>
      </c>
      <c r="H177" s="31">
        <v>1</v>
      </c>
      <c r="I177" s="1" t="s">
        <v>21</v>
      </c>
      <c r="J177" s="1" t="s">
        <v>18</v>
      </c>
      <c r="K177" s="1"/>
      <c r="L177" s="1" t="s">
        <v>172</v>
      </c>
      <c r="M177" s="1" t="s">
        <v>118</v>
      </c>
      <c r="N177" s="31" t="s">
        <v>216</v>
      </c>
      <c r="O177" s="31">
        <v>1</v>
      </c>
      <c r="P177" s="32">
        <v>2010</v>
      </c>
    </row>
    <row r="178" spans="1:16" x14ac:dyDescent="0.25">
      <c r="A178" s="1" t="s">
        <v>182</v>
      </c>
      <c r="B178" s="31">
        <v>33.299999999999997</v>
      </c>
      <c r="C178" s="1" t="s">
        <v>20</v>
      </c>
      <c r="D178" s="2">
        <v>42675</v>
      </c>
      <c r="E178" s="2">
        <v>42675</v>
      </c>
      <c r="F178" s="17">
        <v>900000</v>
      </c>
      <c r="G178" s="17">
        <v>27027.03</v>
      </c>
      <c r="H178" s="31">
        <v>1</v>
      </c>
      <c r="I178" s="1" t="s">
        <v>21</v>
      </c>
      <c r="J178" s="1" t="s">
        <v>22</v>
      </c>
      <c r="K178" s="1"/>
      <c r="L178" s="1" t="s">
        <v>172</v>
      </c>
      <c r="M178" s="1" t="s">
        <v>183</v>
      </c>
      <c r="N178" s="31">
        <v>1</v>
      </c>
      <c r="O178" s="31">
        <v>1</v>
      </c>
      <c r="P178" s="32">
        <v>2009</v>
      </c>
    </row>
    <row r="179" spans="1:16" x14ac:dyDescent="0.25">
      <c r="A179" s="1" t="s">
        <v>190</v>
      </c>
      <c r="B179" s="31">
        <v>46.8</v>
      </c>
      <c r="C179" s="1" t="s">
        <v>20</v>
      </c>
      <c r="D179" s="2">
        <v>42705</v>
      </c>
      <c r="E179" s="2">
        <v>42705</v>
      </c>
      <c r="F179" s="17">
        <v>1280000</v>
      </c>
      <c r="G179" s="17">
        <v>27350.43</v>
      </c>
      <c r="H179" s="31">
        <v>1</v>
      </c>
      <c r="I179" s="1" t="s">
        <v>21</v>
      </c>
      <c r="J179" s="1" t="s">
        <v>22</v>
      </c>
      <c r="K179" s="1"/>
      <c r="L179" s="1" t="s">
        <v>172</v>
      </c>
      <c r="M179" s="1" t="s">
        <v>189</v>
      </c>
      <c r="N179" s="31">
        <v>2</v>
      </c>
      <c r="O179" s="31">
        <v>1</v>
      </c>
      <c r="P179" s="32">
        <v>2000</v>
      </c>
    </row>
    <row r="180" spans="1:16" x14ac:dyDescent="0.25">
      <c r="A180" s="1" t="s">
        <v>185</v>
      </c>
      <c r="B180" s="31">
        <v>47.4</v>
      </c>
      <c r="C180" s="1" t="s">
        <v>20</v>
      </c>
      <c r="D180" s="2">
        <v>42767</v>
      </c>
      <c r="E180" s="2">
        <v>42767</v>
      </c>
      <c r="F180" s="17">
        <v>1300000</v>
      </c>
      <c r="G180" s="17">
        <v>27426.16</v>
      </c>
      <c r="H180" s="31">
        <v>1</v>
      </c>
      <c r="I180" s="1" t="s">
        <v>21</v>
      </c>
      <c r="J180" s="1" t="s">
        <v>22</v>
      </c>
      <c r="K180" s="1"/>
      <c r="L180" s="1" t="s">
        <v>172</v>
      </c>
      <c r="M180" s="1" t="s">
        <v>174</v>
      </c>
      <c r="N180" s="31">
        <v>4</v>
      </c>
      <c r="O180" s="31">
        <v>1</v>
      </c>
      <c r="P180" s="32">
        <v>2009</v>
      </c>
    </row>
    <row r="181" spans="1:16" x14ac:dyDescent="0.25">
      <c r="A181" s="1" t="s">
        <v>179</v>
      </c>
      <c r="B181" s="31">
        <v>32.4</v>
      </c>
      <c r="C181" s="1" t="s">
        <v>20</v>
      </c>
      <c r="D181" s="2">
        <v>42644</v>
      </c>
      <c r="E181" s="2">
        <v>42675</v>
      </c>
      <c r="F181" s="17">
        <v>900000</v>
      </c>
      <c r="G181" s="17">
        <v>27777.78</v>
      </c>
      <c r="H181" s="31">
        <v>1</v>
      </c>
      <c r="I181" s="1" t="s">
        <v>21</v>
      </c>
      <c r="J181" s="1" t="s">
        <v>22</v>
      </c>
      <c r="K181" s="1"/>
      <c r="L181" s="1" t="s">
        <v>172</v>
      </c>
      <c r="M181" s="1" t="s">
        <v>180</v>
      </c>
      <c r="N181" s="31">
        <v>2</v>
      </c>
      <c r="O181" s="31">
        <v>1</v>
      </c>
      <c r="P181" s="32">
        <v>2000</v>
      </c>
    </row>
    <row r="182" spans="1:16" x14ac:dyDescent="0.25">
      <c r="A182" s="1" t="s">
        <v>197</v>
      </c>
      <c r="B182" s="31">
        <v>43.2</v>
      </c>
      <c r="C182" s="1" t="s">
        <v>20</v>
      </c>
      <c r="D182" s="2">
        <v>42767</v>
      </c>
      <c r="E182" s="2">
        <v>42767</v>
      </c>
      <c r="F182" s="17">
        <v>1200000</v>
      </c>
      <c r="G182" s="17">
        <v>27777.78</v>
      </c>
      <c r="H182" s="31">
        <v>1</v>
      </c>
      <c r="I182" s="1" t="s">
        <v>21</v>
      </c>
      <c r="J182" s="1" t="s">
        <v>22</v>
      </c>
      <c r="K182" s="1"/>
      <c r="L182" s="1" t="s">
        <v>172</v>
      </c>
      <c r="M182" s="1" t="s">
        <v>176</v>
      </c>
      <c r="N182" s="31">
        <v>2</v>
      </c>
      <c r="O182" s="31">
        <v>1</v>
      </c>
      <c r="P182" s="32">
        <v>2005</v>
      </c>
    </row>
    <row r="183" spans="1:16" x14ac:dyDescent="0.25">
      <c r="A183" s="1" t="s">
        <v>197</v>
      </c>
      <c r="B183" s="31">
        <v>89.7</v>
      </c>
      <c r="C183" s="1" t="s">
        <v>20</v>
      </c>
      <c r="D183" s="2">
        <v>42736</v>
      </c>
      <c r="E183" s="2">
        <v>42736</v>
      </c>
      <c r="F183" s="17">
        <v>2511265</v>
      </c>
      <c r="G183" s="17">
        <v>27996.27</v>
      </c>
      <c r="H183" s="31">
        <v>1</v>
      </c>
      <c r="I183" s="1" t="s">
        <v>21</v>
      </c>
      <c r="J183" s="1" t="s">
        <v>22</v>
      </c>
      <c r="K183" s="1"/>
      <c r="L183" s="1" t="s">
        <v>172</v>
      </c>
      <c r="M183" s="1" t="s">
        <v>183</v>
      </c>
      <c r="N183" s="31">
        <v>2</v>
      </c>
      <c r="O183" s="31">
        <v>1</v>
      </c>
      <c r="P183" s="32">
        <v>2011</v>
      </c>
    </row>
    <row r="184" spans="1:16" x14ac:dyDescent="0.25">
      <c r="A184" s="1" t="s">
        <v>193</v>
      </c>
      <c r="B184" s="31">
        <v>44.3</v>
      </c>
      <c r="C184" s="1" t="s">
        <v>20</v>
      </c>
      <c r="D184" s="2">
        <v>42795</v>
      </c>
      <c r="E184" s="2">
        <v>42795</v>
      </c>
      <c r="F184" s="17">
        <v>1250000</v>
      </c>
      <c r="G184" s="17">
        <v>28216.7</v>
      </c>
      <c r="H184" s="31">
        <v>1</v>
      </c>
      <c r="I184" s="1" t="s">
        <v>21</v>
      </c>
      <c r="J184" s="1" t="s">
        <v>22</v>
      </c>
      <c r="K184" s="1"/>
      <c r="L184" s="1" t="s">
        <v>172</v>
      </c>
      <c r="M184" s="1" t="s">
        <v>207</v>
      </c>
      <c r="N184" s="31">
        <v>1</v>
      </c>
      <c r="O184" s="31">
        <v>1</v>
      </c>
      <c r="P184" s="32">
        <v>2009</v>
      </c>
    </row>
    <row r="185" spans="1:16" x14ac:dyDescent="0.25">
      <c r="A185" s="1" t="s">
        <v>181</v>
      </c>
      <c r="B185" s="31">
        <v>50.9</v>
      </c>
      <c r="C185" s="1" t="s">
        <v>20</v>
      </c>
      <c r="D185" s="2">
        <v>42644</v>
      </c>
      <c r="E185" s="2">
        <v>42644</v>
      </c>
      <c r="F185" s="17">
        <v>1440000</v>
      </c>
      <c r="G185" s="17">
        <v>28290.77</v>
      </c>
      <c r="H185" s="31">
        <v>1</v>
      </c>
      <c r="I185" s="1" t="s">
        <v>21</v>
      </c>
      <c r="J185" s="1" t="s">
        <v>22</v>
      </c>
      <c r="K185" s="1"/>
      <c r="L185" s="1" t="s">
        <v>172</v>
      </c>
      <c r="M185" s="1" t="s">
        <v>180</v>
      </c>
      <c r="N185" s="31">
        <v>4</v>
      </c>
      <c r="O185" s="31">
        <v>1</v>
      </c>
      <c r="P185" s="32">
        <v>2009</v>
      </c>
    </row>
    <row r="186" spans="1:16" x14ac:dyDescent="0.25">
      <c r="A186" s="1" t="s">
        <v>185</v>
      </c>
      <c r="B186" s="31">
        <v>32.5</v>
      </c>
      <c r="C186" s="1" t="s">
        <v>20</v>
      </c>
      <c r="D186" s="2">
        <v>42644</v>
      </c>
      <c r="E186" s="2">
        <v>42644</v>
      </c>
      <c r="F186" s="17">
        <v>921600</v>
      </c>
      <c r="G186" s="17">
        <v>28356.92</v>
      </c>
      <c r="H186" s="31">
        <v>1</v>
      </c>
      <c r="I186" s="1" t="s">
        <v>21</v>
      </c>
      <c r="J186" s="1" t="s">
        <v>22</v>
      </c>
      <c r="K186" s="1"/>
      <c r="L186" s="1" t="s">
        <v>172</v>
      </c>
      <c r="M186" s="1" t="s">
        <v>174</v>
      </c>
      <c r="N186" s="31">
        <v>1</v>
      </c>
      <c r="O186" s="31">
        <v>1</v>
      </c>
      <c r="P186" s="32">
        <v>2008</v>
      </c>
    </row>
    <row r="187" spans="1:16" x14ac:dyDescent="0.25">
      <c r="A187" s="1" t="s">
        <v>185</v>
      </c>
      <c r="B187" s="31">
        <v>56.1</v>
      </c>
      <c r="C187" s="1" t="s">
        <v>20</v>
      </c>
      <c r="D187" s="2">
        <v>42736</v>
      </c>
      <c r="E187" s="2">
        <v>42736</v>
      </c>
      <c r="F187" s="17">
        <v>1600000</v>
      </c>
      <c r="G187" s="17">
        <v>28520.5</v>
      </c>
      <c r="H187" s="31">
        <v>1</v>
      </c>
      <c r="I187" s="1" t="s">
        <v>21</v>
      </c>
      <c r="J187" s="1" t="s">
        <v>22</v>
      </c>
      <c r="K187" s="1"/>
      <c r="L187" s="1" t="s">
        <v>172</v>
      </c>
      <c r="M187" s="1" t="s">
        <v>174</v>
      </c>
      <c r="N187" s="31">
        <v>5</v>
      </c>
      <c r="O187" s="31">
        <v>1</v>
      </c>
      <c r="P187" s="32">
        <v>2012</v>
      </c>
    </row>
    <row r="188" spans="1:16" x14ac:dyDescent="0.25">
      <c r="A188" s="1" t="s">
        <v>215</v>
      </c>
      <c r="B188" s="31">
        <v>29.8</v>
      </c>
      <c r="C188" s="1" t="s">
        <v>20</v>
      </c>
      <c r="D188" s="2">
        <v>42795</v>
      </c>
      <c r="E188" s="2">
        <v>42795</v>
      </c>
      <c r="F188" s="17">
        <v>852000</v>
      </c>
      <c r="G188" s="17">
        <v>28590.6</v>
      </c>
      <c r="H188" s="31">
        <v>1</v>
      </c>
      <c r="I188" s="1" t="s">
        <v>21</v>
      </c>
      <c r="J188" s="1" t="s">
        <v>22</v>
      </c>
      <c r="K188" s="1"/>
      <c r="L188" s="1" t="s">
        <v>172</v>
      </c>
      <c r="M188" s="1"/>
      <c r="N188" s="31">
        <v>3</v>
      </c>
      <c r="O188" s="31">
        <v>1</v>
      </c>
      <c r="P188" s="32">
        <v>2012</v>
      </c>
    </row>
    <row r="189" spans="1:16" x14ac:dyDescent="0.25">
      <c r="A189" s="1" t="s">
        <v>184</v>
      </c>
      <c r="B189" s="31">
        <v>41.9</v>
      </c>
      <c r="C189" s="1" t="s">
        <v>20</v>
      </c>
      <c r="D189" s="2">
        <v>42767</v>
      </c>
      <c r="E189" s="2">
        <v>42767</v>
      </c>
      <c r="F189" s="17">
        <v>1200000</v>
      </c>
      <c r="G189" s="17">
        <v>28639.62</v>
      </c>
      <c r="H189" s="31">
        <v>1</v>
      </c>
      <c r="I189" s="1" t="s">
        <v>21</v>
      </c>
      <c r="J189" s="1" t="s">
        <v>22</v>
      </c>
      <c r="K189" s="1"/>
      <c r="L189" s="1" t="s">
        <v>172</v>
      </c>
      <c r="M189" s="1" t="s">
        <v>196</v>
      </c>
      <c r="N189" s="31">
        <v>5</v>
      </c>
      <c r="O189" s="31">
        <v>2</v>
      </c>
      <c r="P189" s="32">
        <v>2007</v>
      </c>
    </row>
    <row r="190" spans="1:16" x14ac:dyDescent="0.25">
      <c r="A190" s="1" t="s">
        <v>184</v>
      </c>
      <c r="B190" s="31">
        <v>41.9</v>
      </c>
      <c r="C190" s="1" t="s">
        <v>20</v>
      </c>
      <c r="D190" s="2">
        <v>42767</v>
      </c>
      <c r="E190" s="2">
        <v>42767</v>
      </c>
      <c r="F190" s="17">
        <v>1200000</v>
      </c>
      <c r="G190" s="17">
        <v>28639.62</v>
      </c>
      <c r="H190" s="31">
        <v>1</v>
      </c>
      <c r="I190" s="1" t="s">
        <v>21</v>
      </c>
      <c r="J190" s="1" t="s">
        <v>22</v>
      </c>
      <c r="K190" s="1"/>
      <c r="L190" s="1" t="s">
        <v>172</v>
      </c>
      <c r="M190" s="1" t="s">
        <v>196</v>
      </c>
      <c r="N190" s="31">
        <v>5</v>
      </c>
      <c r="O190" s="31">
        <v>2</v>
      </c>
      <c r="P190" s="32">
        <v>2007</v>
      </c>
    </row>
    <row r="191" spans="1:16" x14ac:dyDescent="0.25">
      <c r="A191" s="1" t="s">
        <v>201</v>
      </c>
      <c r="B191" s="31">
        <v>31.9</v>
      </c>
      <c r="C191" s="1" t="s">
        <v>20</v>
      </c>
      <c r="D191" s="2">
        <v>42675</v>
      </c>
      <c r="E191" s="2">
        <v>42675</v>
      </c>
      <c r="F191" s="17">
        <v>920000</v>
      </c>
      <c r="G191" s="17">
        <v>28840.13</v>
      </c>
      <c r="H191" s="31">
        <v>1</v>
      </c>
      <c r="I191" s="1" t="s">
        <v>21</v>
      </c>
      <c r="J191" s="1" t="s">
        <v>22</v>
      </c>
      <c r="K191" s="1"/>
      <c r="L191" s="1" t="s">
        <v>172</v>
      </c>
      <c r="M191" s="1" t="s">
        <v>98</v>
      </c>
      <c r="N191" s="31">
        <v>5</v>
      </c>
      <c r="O191" s="31">
        <v>1</v>
      </c>
      <c r="P191" s="32">
        <v>2016</v>
      </c>
    </row>
    <row r="192" spans="1:16" x14ac:dyDescent="0.25">
      <c r="A192" s="1" t="s">
        <v>177</v>
      </c>
      <c r="B192" s="31">
        <v>43.9</v>
      </c>
      <c r="C192" s="1" t="s">
        <v>20</v>
      </c>
      <c r="D192" s="2">
        <v>42705</v>
      </c>
      <c r="E192" s="2">
        <v>42705</v>
      </c>
      <c r="F192" s="17">
        <v>1280000</v>
      </c>
      <c r="G192" s="17">
        <v>29157.18</v>
      </c>
      <c r="H192" s="31">
        <v>1</v>
      </c>
      <c r="I192" s="1" t="s">
        <v>21</v>
      </c>
      <c r="J192" s="1" t="s">
        <v>22</v>
      </c>
      <c r="K192" s="1"/>
      <c r="L192" s="1" t="s">
        <v>172</v>
      </c>
      <c r="M192" s="1" t="s">
        <v>178</v>
      </c>
      <c r="N192" s="31">
        <v>1</v>
      </c>
      <c r="O192" s="31">
        <v>1</v>
      </c>
      <c r="P192" s="32">
        <v>2004</v>
      </c>
    </row>
    <row r="193" spans="1:16" x14ac:dyDescent="0.25">
      <c r="A193" s="1" t="s">
        <v>199</v>
      </c>
      <c r="B193" s="31">
        <v>62.9</v>
      </c>
      <c r="C193" s="1" t="s">
        <v>20</v>
      </c>
      <c r="D193" s="2">
        <v>42795</v>
      </c>
      <c r="E193" s="2">
        <v>42795</v>
      </c>
      <c r="F193" s="17">
        <v>1840000</v>
      </c>
      <c r="G193" s="17">
        <v>29252.78</v>
      </c>
      <c r="H193" s="31">
        <v>1</v>
      </c>
      <c r="I193" s="1" t="s">
        <v>21</v>
      </c>
      <c r="J193" s="1" t="s">
        <v>22</v>
      </c>
      <c r="K193" s="1"/>
      <c r="L193" s="1" t="s">
        <v>172</v>
      </c>
      <c r="M193" s="1" t="s">
        <v>90</v>
      </c>
      <c r="N193" s="31">
        <v>5</v>
      </c>
      <c r="O193" s="31">
        <v>1</v>
      </c>
      <c r="P193" s="32">
        <v>2014</v>
      </c>
    </row>
    <row r="194" spans="1:16" x14ac:dyDescent="0.25">
      <c r="A194" s="1" t="s">
        <v>177</v>
      </c>
      <c r="B194" s="31">
        <v>29.9</v>
      </c>
      <c r="C194" s="1" t="s">
        <v>20</v>
      </c>
      <c r="D194" s="2">
        <v>42644</v>
      </c>
      <c r="E194" s="2">
        <v>42644</v>
      </c>
      <c r="F194" s="17">
        <v>880000</v>
      </c>
      <c r="G194" s="17">
        <v>29431.439999999999</v>
      </c>
      <c r="H194" s="31">
        <v>1</v>
      </c>
      <c r="I194" s="1" t="s">
        <v>21</v>
      </c>
      <c r="J194" s="1" t="s">
        <v>22</v>
      </c>
      <c r="K194" s="1"/>
      <c r="L194" s="1" t="s">
        <v>172</v>
      </c>
      <c r="M194" s="1" t="s">
        <v>178</v>
      </c>
      <c r="N194" s="31">
        <v>1</v>
      </c>
      <c r="O194" s="31">
        <v>1</v>
      </c>
      <c r="P194" s="32">
        <v>2007</v>
      </c>
    </row>
    <row r="195" spans="1:16" x14ac:dyDescent="0.25">
      <c r="A195" s="1" t="s">
        <v>190</v>
      </c>
      <c r="B195" s="31">
        <v>99.1</v>
      </c>
      <c r="C195" s="1" t="s">
        <v>20</v>
      </c>
      <c r="D195" s="2">
        <v>42705</v>
      </c>
      <c r="E195" s="2">
        <v>42705</v>
      </c>
      <c r="F195" s="17">
        <v>2925000</v>
      </c>
      <c r="G195" s="17">
        <v>29515.64</v>
      </c>
      <c r="H195" s="31">
        <v>1</v>
      </c>
      <c r="I195" s="1" t="s">
        <v>21</v>
      </c>
      <c r="J195" s="1" t="s">
        <v>32</v>
      </c>
      <c r="K195" s="1"/>
      <c r="L195" s="1" t="s">
        <v>172</v>
      </c>
      <c r="M195" s="1" t="s">
        <v>189</v>
      </c>
      <c r="N195" s="31">
        <v>3</v>
      </c>
      <c r="O195" s="31">
        <v>1</v>
      </c>
      <c r="P195" s="32">
        <v>2008</v>
      </c>
    </row>
    <row r="196" spans="1:16" x14ac:dyDescent="0.25">
      <c r="A196" s="1" t="s">
        <v>184</v>
      </c>
      <c r="B196" s="31">
        <v>40.5</v>
      </c>
      <c r="C196" s="1" t="s">
        <v>20</v>
      </c>
      <c r="D196" s="2">
        <v>42675</v>
      </c>
      <c r="E196" s="2">
        <v>42675</v>
      </c>
      <c r="F196" s="17">
        <v>1200000</v>
      </c>
      <c r="G196" s="17">
        <v>29629.63</v>
      </c>
      <c r="H196" s="31">
        <v>1</v>
      </c>
      <c r="I196" s="1" t="s">
        <v>21</v>
      </c>
      <c r="J196" s="1" t="s">
        <v>22</v>
      </c>
      <c r="K196" s="1"/>
      <c r="L196" s="1" t="s">
        <v>172</v>
      </c>
      <c r="M196" s="1" t="s">
        <v>128</v>
      </c>
      <c r="N196" s="31">
        <v>4</v>
      </c>
      <c r="O196" s="31">
        <v>1</v>
      </c>
      <c r="P196" s="32">
        <v>2008</v>
      </c>
    </row>
    <row r="197" spans="1:16" x14ac:dyDescent="0.25">
      <c r="A197" s="1" t="s">
        <v>185</v>
      </c>
      <c r="B197" s="31">
        <v>51.9</v>
      </c>
      <c r="C197" s="1" t="s">
        <v>20</v>
      </c>
      <c r="D197" s="2">
        <v>42675</v>
      </c>
      <c r="E197" s="2">
        <v>42675</v>
      </c>
      <c r="F197" s="17">
        <v>1540000</v>
      </c>
      <c r="G197" s="17">
        <v>29672.45</v>
      </c>
      <c r="H197" s="31">
        <v>1</v>
      </c>
      <c r="I197" s="1" t="s">
        <v>21</v>
      </c>
      <c r="J197" s="1" t="s">
        <v>22</v>
      </c>
      <c r="K197" s="1"/>
      <c r="L197" s="1" t="s">
        <v>172</v>
      </c>
      <c r="M197" s="1" t="s">
        <v>187</v>
      </c>
      <c r="N197" s="31">
        <v>2</v>
      </c>
      <c r="O197" s="31">
        <v>1</v>
      </c>
      <c r="P197" s="32">
        <v>2013</v>
      </c>
    </row>
    <row r="198" spans="1:16" x14ac:dyDescent="0.25">
      <c r="A198" s="1" t="s">
        <v>185</v>
      </c>
      <c r="B198" s="31">
        <v>40.4</v>
      </c>
      <c r="C198" s="1" t="s">
        <v>20</v>
      </c>
      <c r="D198" s="2">
        <v>42767</v>
      </c>
      <c r="E198" s="2">
        <v>42795</v>
      </c>
      <c r="F198" s="17">
        <v>1200000</v>
      </c>
      <c r="G198" s="17">
        <v>29702.97</v>
      </c>
      <c r="H198" s="31">
        <v>1</v>
      </c>
      <c r="I198" s="1" t="s">
        <v>21</v>
      </c>
      <c r="J198" s="1" t="s">
        <v>22</v>
      </c>
      <c r="K198" s="1"/>
      <c r="L198" s="1" t="s">
        <v>172</v>
      </c>
      <c r="M198" s="1" t="s">
        <v>174</v>
      </c>
      <c r="N198" s="31">
        <v>5</v>
      </c>
      <c r="O198" s="31">
        <v>1</v>
      </c>
      <c r="P198" s="32">
        <v>2009</v>
      </c>
    </row>
    <row r="199" spans="1:16" x14ac:dyDescent="0.25">
      <c r="A199" s="1" t="s">
        <v>186</v>
      </c>
      <c r="B199" s="31">
        <v>21.3</v>
      </c>
      <c r="C199" s="1" t="s">
        <v>20</v>
      </c>
      <c r="D199" s="2">
        <v>42675</v>
      </c>
      <c r="E199" s="2">
        <v>42705</v>
      </c>
      <c r="F199" s="17">
        <v>633780</v>
      </c>
      <c r="G199" s="17">
        <v>29754.93</v>
      </c>
      <c r="H199" s="31">
        <v>1</v>
      </c>
      <c r="I199" s="1" t="s">
        <v>21</v>
      </c>
      <c r="J199" s="1" t="s">
        <v>22</v>
      </c>
      <c r="K199" s="1"/>
      <c r="L199" s="1" t="s">
        <v>172</v>
      </c>
      <c r="M199" s="1" t="s">
        <v>189</v>
      </c>
      <c r="N199" s="31">
        <v>2</v>
      </c>
      <c r="O199" s="31">
        <v>1</v>
      </c>
      <c r="P199" s="32">
        <v>2012</v>
      </c>
    </row>
    <row r="200" spans="1:16" x14ac:dyDescent="0.25">
      <c r="A200" s="1" t="s">
        <v>184</v>
      </c>
      <c r="B200" s="31">
        <v>42.8</v>
      </c>
      <c r="C200" s="1" t="s">
        <v>20</v>
      </c>
      <c r="D200" s="2">
        <v>42644</v>
      </c>
      <c r="E200" s="2">
        <v>42644</v>
      </c>
      <c r="F200" s="17">
        <v>1280000</v>
      </c>
      <c r="G200" s="17">
        <v>29906.54</v>
      </c>
      <c r="H200" s="31">
        <v>1</v>
      </c>
      <c r="I200" s="1" t="s">
        <v>21</v>
      </c>
      <c r="J200" s="1" t="s">
        <v>22</v>
      </c>
      <c r="K200" s="1"/>
      <c r="L200" s="1" t="s">
        <v>172</v>
      </c>
      <c r="M200" s="1" t="s">
        <v>183</v>
      </c>
      <c r="N200" s="31">
        <v>2</v>
      </c>
      <c r="O200" s="31">
        <v>1</v>
      </c>
      <c r="P200" s="32">
        <v>2007</v>
      </c>
    </row>
    <row r="201" spans="1:16" x14ac:dyDescent="0.25">
      <c r="A201" s="1" t="s">
        <v>190</v>
      </c>
      <c r="B201" s="31">
        <v>39.799999999999997</v>
      </c>
      <c r="C201" s="1" t="s">
        <v>20</v>
      </c>
      <c r="D201" s="2">
        <v>42795</v>
      </c>
      <c r="E201" s="2">
        <v>42795</v>
      </c>
      <c r="F201" s="17">
        <v>1200000</v>
      </c>
      <c r="G201" s="17">
        <v>30150.75</v>
      </c>
      <c r="H201" s="31">
        <v>1</v>
      </c>
      <c r="I201" s="1" t="s">
        <v>21</v>
      </c>
      <c r="J201" s="1" t="s">
        <v>22</v>
      </c>
      <c r="K201" s="1"/>
      <c r="L201" s="1" t="s">
        <v>172</v>
      </c>
      <c r="M201" s="1"/>
      <c r="N201" s="31">
        <v>1</v>
      </c>
      <c r="O201" s="31">
        <v>1</v>
      </c>
      <c r="P201" s="32">
        <v>2006</v>
      </c>
    </row>
    <row r="202" spans="1:16" x14ac:dyDescent="0.25">
      <c r="A202" s="1" t="s">
        <v>173</v>
      </c>
      <c r="B202" s="31">
        <v>59.3</v>
      </c>
      <c r="C202" s="1" t="s">
        <v>20</v>
      </c>
      <c r="D202" s="2">
        <v>42795</v>
      </c>
      <c r="E202" s="2">
        <v>42795</v>
      </c>
      <c r="F202" s="17">
        <v>1800000</v>
      </c>
      <c r="G202" s="17">
        <v>30354.13</v>
      </c>
      <c r="H202" s="31">
        <v>1</v>
      </c>
      <c r="I202" s="1" t="s">
        <v>21</v>
      </c>
      <c r="J202" s="1" t="s">
        <v>22</v>
      </c>
      <c r="K202" s="1"/>
      <c r="L202" s="1" t="s">
        <v>172</v>
      </c>
      <c r="M202" s="1" t="s">
        <v>174</v>
      </c>
      <c r="N202" s="31">
        <v>3</v>
      </c>
      <c r="O202" s="31">
        <v>1</v>
      </c>
      <c r="P202" s="32">
        <v>2006</v>
      </c>
    </row>
    <row r="203" spans="1:16" x14ac:dyDescent="0.25">
      <c r="A203" s="1" t="s">
        <v>177</v>
      </c>
      <c r="B203" s="31">
        <v>39.5</v>
      </c>
      <c r="C203" s="1" t="s">
        <v>20</v>
      </c>
      <c r="D203" s="2">
        <v>42675</v>
      </c>
      <c r="E203" s="2">
        <v>42675</v>
      </c>
      <c r="F203" s="17">
        <v>1200000</v>
      </c>
      <c r="G203" s="17">
        <v>30379.75</v>
      </c>
      <c r="H203" s="31">
        <v>1</v>
      </c>
      <c r="I203" s="1" t="s">
        <v>21</v>
      </c>
      <c r="J203" s="1" t="s">
        <v>22</v>
      </c>
      <c r="K203" s="1"/>
      <c r="L203" s="1" t="s">
        <v>172</v>
      </c>
      <c r="M203" s="1" t="s">
        <v>178</v>
      </c>
      <c r="N203" s="31">
        <v>1</v>
      </c>
      <c r="O203" s="31">
        <v>1</v>
      </c>
      <c r="P203" s="32">
        <v>2011</v>
      </c>
    </row>
    <row r="204" spans="1:16" x14ac:dyDescent="0.25">
      <c r="A204" s="1" t="s">
        <v>199</v>
      </c>
      <c r="B204" s="31">
        <v>44.2</v>
      </c>
      <c r="C204" s="1" t="s">
        <v>20</v>
      </c>
      <c r="D204" s="2">
        <v>42705</v>
      </c>
      <c r="E204" s="2">
        <v>42705</v>
      </c>
      <c r="F204" s="17">
        <v>1350000</v>
      </c>
      <c r="G204" s="17">
        <v>30542.99</v>
      </c>
      <c r="H204" s="31">
        <v>1</v>
      </c>
      <c r="I204" s="1" t="s">
        <v>21</v>
      </c>
      <c r="J204" s="1" t="s">
        <v>22</v>
      </c>
      <c r="K204" s="1"/>
      <c r="L204" s="1" t="s">
        <v>172</v>
      </c>
      <c r="M204" s="1" t="s">
        <v>128</v>
      </c>
      <c r="N204" s="31">
        <v>2</v>
      </c>
      <c r="O204" s="31">
        <v>1</v>
      </c>
      <c r="P204" s="32">
        <v>2010</v>
      </c>
    </row>
    <row r="205" spans="1:16" x14ac:dyDescent="0.25">
      <c r="A205" s="1" t="s">
        <v>206</v>
      </c>
      <c r="B205" s="31">
        <v>48.3</v>
      </c>
      <c r="C205" s="1" t="s">
        <v>20</v>
      </c>
      <c r="D205" s="2">
        <v>42736</v>
      </c>
      <c r="E205" s="2">
        <v>42736</v>
      </c>
      <c r="F205" s="17">
        <v>1480000</v>
      </c>
      <c r="G205" s="17">
        <v>30641.82</v>
      </c>
      <c r="H205" s="31">
        <v>1</v>
      </c>
      <c r="I205" s="1" t="s">
        <v>21</v>
      </c>
      <c r="J205" s="1" t="s">
        <v>22</v>
      </c>
      <c r="K205" s="1"/>
      <c r="L205" s="1" t="s">
        <v>172</v>
      </c>
      <c r="M205" s="1" t="s">
        <v>191</v>
      </c>
      <c r="N205" s="31">
        <v>5</v>
      </c>
      <c r="O205" s="31">
        <v>1</v>
      </c>
      <c r="P205" s="32">
        <v>2004</v>
      </c>
    </row>
    <row r="206" spans="1:16" x14ac:dyDescent="0.25">
      <c r="A206" s="1" t="s">
        <v>190</v>
      </c>
      <c r="B206" s="31">
        <v>52</v>
      </c>
      <c r="C206" s="1" t="s">
        <v>20</v>
      </c>
      <c r="D206" s="2">
        <v>42767</v>
      </c>
      <c r="E206" s="2">
        <v>42767</v>
      </c>
      <c r="F206" s="17">
        <v>1600000</v>
      </c>
      <c r="G206" s="17">
        <v>30769.23</v>
      </c>
      <c r="H206" s="31">
        <v>1</v>
      </c>
      <c r="I206" s="1" t="s">
        <v>21</v>
      </c>
      <c r="J206" s="1" t="s">
        <v>22</v>
      </c>
      <c r="K206" s="1"/>
      <c r="L206" s="1" t="s">
        <v>172</v>
      </c>
      <c r="M206" s="1" t="s">
        <v>191</v>
      </c>
      <c r="N206" s="31">
        <v>4</v>
      </c>
      <c r="O206" s="31">
        <v>1</v>
      </c>
      <c r="P206" s="32">
        <v>2005</v>
      </c>
    </row>
    <row r="207" spans="1:16" x14ac:dyDescent="0.25">
      <c r="A207" s="1" t="s">
        <v>217</v>
      </c>
      <c r="B207" s="31">
        <v>45.5</v>
      </c>
      <c r="C207" s="1" t="s">
        <v>20</v>
      </c>
      <c r="D207" s="2">
        <v>42795</v>
      </c>
      <c r="E207" s="2">
        <v>42795</v>
      </c>
      <c r="F207" s="17">
        <v>1400000</v>
      </c>
      <c r="G207" s="17">
        <v>30769.23</v>
      </c>
      <c r="H207" s="31">
        <v>1</v>
      </c>
      <c r="I207" s="1" t="s">
        <v>21</v>
      </c>
      <c r="J207" s="1" t="s">
        <v>22</v>
      </c>
      <c r="K207" s="1"/>
      <c r="L207" s="1" t="s">
        <v>172</v>
      </c>
      <c r="M207" s="1" t="s">
        <v>214</v>
      </c>
      <c r="N207" s="31">
        <v>4</v>
      </c>
      <c r="O207" s="31">
        <v>1</v>
      </c>
      <c r="P207" s="32">
        <v>2006</v>
      </c>
    </row>
    <row r="208" spans="1:16" x14ac:dyDescent="0.25">
      <c r="A208" s="1" t="s">
        <v>193</v>
      </c>
      <c r="B208" s="31">
        <v>99.3</v>
      </c>
      <c r="C208" s="1" t="s">
        <v>20</v>
      </c>
      <c r="D208" s="2">
        <v>42675</v>
      </c>
      <c r="E208" s="2">
        <v>42705</v>
      </c>
      <c r="F208" s="17">
        <v>3068000</v>
      </c>
      <c r="G208" s="17">
        <v>30896.27</v>
      </c>
      <c r="H208" s="31">
        <v>1</v>
      </c>
      <c r="I208" s="1" t="s">
        <v>21</v>
      </c>
      <c r="J208" s="1" t="s">
        <v>18</v>
      </c>
      <c r="K208" s="1"/>
      <c r="L208" s="1" t="s">
        <v>172</v>
      </c>
      <c r="M208" s="1" t="s">
        <v>211</v>
      </c>
      <c r="N208" s="31"/>
      <c r="O208" s="31">
        <v>1</v>
      </c>
      <c r="P208" s="32">
        <v>2016</v>
      </c>
    </row>
    <row r="209" spans="1:16" x14ac:dyDescent="0.25">
      <c r="A209" s="1" t="s">
        <v>188</v>
      </c>
      <c r="B209" s="31">
        <v>50.3</v>
      </c>
      <c r="C209" s="1" t="s">
        <v>20</v>
      </c>
      <c r="D209" s="2">
        <v>42795</v>
      </c>
      <c r="E209" s="2">
        <v>42795</v>
      </c>
      <c r="F209" s="17">
        <v>1560000</v>
      </c>
      <c r="G209" s="17">
        <v>31013.919999999998</v>
      </c>
      <c r="H209" s="31">
        <v>1</v>
      </c>
      <c r="I209" s="1" t="s">
        <v>21</v>
      </c>
      <c r="J209" s="1" t="s">
        <v>22</v>
      </c>
      <c r="K209" s="1"/>
      <c r="L209" s="1" t="s">
        <v>172</v>
      </c>
      <c r="M209" s="1" t="s">
        <v>213</v>
      </c>
      <c r="N209" s="31">
        <v>3</v>
      </c>
      <c r="O209" s="31">
        <v>1</v>
      </c>
      <c r="P209" s="32">
        <v>2012</v>
      </c>
    </row>
    <row r="210" spans="1:16" x14ac:dyDescent="0.25">
      <c r="A210" s="1" t="s">
        <v>179</v>
      </c>
      <c r="B210" s="31">
        <v>48.4</v>
      </c>
      <c r="C210" s="1" t="s">
        <v>20</v>
      </c>
      <c r="D210" s="2">
        <v>42767</v>
      </c>
      <c r="E210" s="2">
        <v>42795</v>
      </c>
      <c r="F210" s="17">
        <v>1528000</v>
      </c>
      <c r="G210" s="17">
        <v>31570.25</v>
      </c>
      <c r="H210" s="31">
        <v>1</v>
      </c>
      <c r="I210" s="1" t="s">
        <v>21</v>
      </c>
      <c r="J210" s="1" t="s">
        <v>22</v>
      </c>
      <c r="K210" s="1"/>
      <c r="L210" s="1" t="s">
        <v>172</v>
      </c>
      <c r="M210" s="1" t="s">
        <v>180</v>
      </c>
      <c r="N210" s="31">
        <v>2</v>
      </c>
      <c r="O210" s="31">
        <v>1</v>
      </c>
      <c r="P210" s="32">
        <v>2017</v>
      </c>
    </row>
    <row r="211" spans="1:16" x14ac:dyDescent="0.25">
      <c r="A211" s="1" t="s">
        <v>205</v>
      </c>
      <c r="B211" s="31">
        <v>47.6</v>
      </c>
      <c r="C211" s="1" t="s">
        <v>20</v>
      </c>
      <c r="D211" s="2">
        <v>42675</v>
      </c>
      <c r="E211" s="2">
        <v>42675</v>
      </c>
      <c r="F211" s="17">
        <v>1520000</v>
      </c>
      <c r="G211" s="17">
        <v>31932.77</v>
      </c>
      <c r="H211" s="31">
        <v>1</v>
      </c>
      <c r="I211" s="1" t="s">
        <v>21</v>
      </c>
      <c r="J211" s="1" t="s">
        <v>22</v>
      </c>
      <c r="K211" s="1"/>
      <c r="L211" s="1" t="s">
        <v>172</v>
      </c>
      <c r="M211" s="1" t="s">
        <v>180</v>
      </c>
      <c r="N211" s="31">
        <v>1</v>
      </c>
      <c r="O211" s="31">
        <v>1</v>
      </c>
      <c r="P211" s="32">
        <v>2002</v>
      </c>
    </row>
    <row r="212" spans="1:16" x14ac:dyDescent="0.25">
      <c r="A212" s="1" t="s">
        <v>182</v>
      </c>
      <c r="B212" s="31">
        <v>59.7</v>
      </c>
      <c r="C212" s="1" t="s">
        <v>20</v>
      </c>
      <c r="D212" s="2">
        <v>42705</v>
      </c>
      <c r="E212" s="2">
        <v>42705</v>
      </c>
      <c r="F212" s="17">
        <v>1910000</v>
      </c>
      <c r="G212" s="17">
        <v>31993.3</v>
      </c>
      <c r="H212" s="31">
        <v>1</v>
      </c>
      <c r="I212" s="1" t="s">
        <v>21</v>
      </c>
      <c r="J212" s="1" t="s">
        <v>22</v>
      </c>
      <c r="K212" s="1"/>
      <c r="L212" s="1" t="s">
        <v>172</v>
      </c>
      <c r="M212" s="1" t="s">
        <v>183</v>
      </c>
      <c r="N212" s="31">
        <v>5</v>
      </c>
      <c r="O212" s="31">
        <v>2</v>
      </c>
      <c r="P212" s="32">
        <v>2016</v>
      </c>
    </row>
    <row r="213" spans="1:16" x14ac:dyDescent="0.25">
      <c r="A213" s="1" t="s">
        <v>182</v>
      </c>
      <c r="B213" s="31">
        <v>59.7</v>
      </c>
      <c r="C213" s="1" t="s">
        <v>20</v>
      </c>
      <c r="D213" s="2">
        <v>42705</v>
      </c>
      <c r="E213" s="2">
        <v>42705</v>
      </c>
      <c r="F213" s="17">
        <v>1910000</v>
      </c>
      <c r="G213" s="17">
        <v>31993.3</v>
      </c>
      <c r="H213" s="31">
        <v>1</v>
      </c>
      <c r="I213" s="1" t="s">
        <v>21</v>
      </c>
      <c r="J213" s="1" t="s">
        <v>22</v>
      </c>
      <c r="K213" s="1"/>
      <c r="L213" s="1" t="s">
        <v>172</v>
      </c>
      <c r="M213" s="1" t="s">
        <v>183</v>
      </c>
      <c r="N213" s="31">
        <v>5</v>
      </c>
      <c r="O213" s="31">
        <v>2</v>
      </c>
      <c r="P213" s="32">
        <v>2016</v>
      </c>
    </row>
    <row r="214" spans="1:16" x14ac:dyDescent="0.25">
      <c r="A214" s="1" t="s">
        <v>185</v>
      </c>
      <c r="B214" s="31">
        <v>48.9</v>
      </c>
      <c r="C214" s="1" t="s">
        <v>20</v>
      </c>
      <c r="D214" s="2">
        <v>42705</v>
      </c>
      <c r="E214" s="2">
        <v>42705</v>
      </c>
      <c r="F214" s="17">
        <v>1615000</v>
      </c>
      <c r="G214" s="17">
        <v>33026.58</v>
      </c>
      <c r="H214" s="31">
        <v>1</v>
      </c>
      <c r="I214" s="1" t="s">
        <v>21</v>
      </c>
      <c r="J214" s="1" t="s">
        <v>22</v>
      </c>
      <c r="K214" s="1"/>
      <c r="L214" s="1" t="s">
        <v>172</v>
      </c>
      <c r="M214" s="1" t="s">
        <v>174</v>
      </c>
      <c r="N214" s="31">
        <v>4</v>
      </c>
      <c r="O214" s="31">
        <v>1</v>
      </c>
      <c r="P214" s="32">
        <v>2002</v>
      </c>
    </row>
    <row r="215" spans="1:16" x14ac:dyDescent="0.25">
      <c r="A215" s="1" t="s">
        <v>195</v>
      </c>
      <c r="B215" s="31">
        <v>51.7</v>
      </c>
      <c r="C215" s="1" t="s">
        <v>20</v>
      </c>
      <c r="D215" s="2">
        <v>42736</v>
      </c>
      <c r="E215" s="2">
        <v>42767</v>
      </c>
      <c r="F215" s="17">
        <v>1710000</v>
      </c>
      <c r="G215" s="17">
        <v>33075.440000000002</v>
      </c>
      <c r="H215" s="31">
        <v>1</v>
      </c>
      <c r="I215" s="1" t="s">
        <v>21</v>
      </c>
      <c r="J215" s="1" t="s">
        <v>22</v>
      </c>
      <c r="K215" s="1"/>
      <c r="L215" s="1" t="s">
        <v>172</v>
      </c>
      <c r="M215" s="1" t="s">
        <v>211</v>
      </c>
      <c r="N215" s="31">
        <v>3</v>
      </c>
      <c r="O215" s="31">
        <v>1</v>
      </c>
      <c r="P215" s="32">
        <v>2008</v>
      </c>
    </row>
    <row r="216" spans="1:16" x14ac:dyDescent="0.25">
      <c r="A216" s="1" t="s">
        <v>185</v>
      </c>
      <c r="B216" s="31">
        <v>60.5</v>
      </c>
      <c r="C216" s="1" t="s">
        <v>20</v>
      </c>
      <c r="D216" s="2">
        <v>42736</v>
      </c>
      <c r="E216" s="2">
        <v>42736</v>
      </c>
      <c r="F216" s="17">
        <v>2100000</v>
      </c>
      <c r="G216" s="17">
        <v>34710.74</v>
      </c>
      <c r="H216" s="31">
        <v>1</v>
      </c>
      <c r="I216" s="1" t="s">
        <v>21</v>
      </c>
      <c r="J216" s="1" t="s">
        <v>32</v>
      </c>
      <c r="K216" s="1"/>
      <c r="L216" s="1" t="s">
        <v>172</v>
      </c>
      <c r="M216" s="1" t="s">
        <v>187</v>
      </c>
      <c r="N216" s="31">
        <v>3</v>
      </c>
      <c r="O216" s="31">
        <v>2</v>
      </c>
      <c r="P216" s="32">
        <v>2005</v>
      </c>
    </row>
    <row r="217" spans="1:16" x14ac:dyDescent="0.25">
      <c r="A217" s="1" t="s">
        <v>185</v>
      </c>
      <c r="B217" s="31">
        <v>60.5</v>
      </c>
      <c r="C217" s="1" t="s">
        <v>20</v>
      </c>
      <c r="D217" s="2">
        <v>42736</v>
      </c>
      <c r="E217" s="2">
        <v>42736</v>
      </c>
      <c r="F217" s="17">
        <v>2100000</v>
      </c>
      <c r="G217" s="17">
        <v>34710.74</v>
      </c>
      <c r="H217" s="31">
        <v>1</v>
      </c>
      <c r="I217" s="1" t="s">
        <v>21</v>
      </c>
      <c r="J217" s="1" t="s">
        <v>32</v>
      </c>
      <c r="K217" s="1"/>
      <c r="L217" s="1" t="s">
        <v>172</v>
      </c>
      <c r="M217" s="1" t="s">
        <v>187</v>
      </c>
      <c r="N217" s="31">
        <v>3</v>
      </c>
      <c r="O217" s="31">
        <v>2</v>
      </c>
      <c r="P217" s="32">
        <v>2005</v>
      </c>
    </row>
    <row r="218" spans="1:16" x14ac:dyDescent="0.25">
      <c r="A218" s="1" t="s">
        <v>206</v>
      </c>
      <c r="B218" s="31">
        <v>48.4</v>
      </c>
      <c r="C218" s="1" t="s">
        <v>20</v>
      </c>
      <c r="D218" s="2">
        <v>42675</v>
      </c>
      <c r="E218" s="2">
        <v>42675</v>
      </c>
      <c r="F218" s="17">
        <v>1700000</v>
      </c>
      <c r="G218" s="17">
        <v>35123.97</v>
      </c>
      <c r="H218" s="31">
        <v>1</v>
      </c>
      <c r="I218" s="1" t="s">
        <v>21</v>
      </c>
      <c r="J218" s="1" t="s">
        <v>22</v>
      </c>
      <c r="K218" s="1"/>
      <c r="L218" s="1" t="s">
        <v>172</v>
      </c>
      <c r="M218" s="1" t="s">
        <v>191</v>
      </c>
      <c r="N218" s="31">
        <v>4</v>
      </c>
      <c r="O218" s="31">
        <v>2</v>
      </c>
      <c r="P218" s="32">
        <v>2006</v>
      </c>
    </row>
    <row r="219" spans="1:16" x14ac:dyDescent="0.25">
      <c r="A219" s="1" t="s">
        <v>206</v>
      </c>
      <c r="B219" s="31">
        <v>48.4</v>
      </c>
      <c r="C219" s="1" t="s">
        <v>20</v>
      </c>
      <c r="D219" s="2">
        <v>42675</v>
      </c>
      <c r="E219" s="2">
        <v>42675</v>
      </c>
      <c r="F219" s="17">
        <v>1700000</v>
      </c>
      <c r="G219" s="17">
        <v>35123.97</v>
      </c>
      <c r="H219" s="31">
        <v>1</v>
      </c>
      <c r="I219" s="1" t="s">
        <v>21</v>
      </c>
      <c r="J219" s="1" t="s">
        <v>22</v>
      </c>
      <c r="K219" s="1"/>
      <c r="L219" s="1" t="s">
        <v>172</v>
      </c>
      <c r="M219" s="1" t="s">
        <v>191</v>
      </c>
      <c r="N219" s="31">
        <v>4</v>
      </c>
      <c r="O219" s="31">
        <v>2</v>
      </c>
      <c r="P219" s="32">
        <v>2006</v>
      </c>
    </row>
    <row r="220" spans="1:16" x14ac:dyDescent="0.25">
      <c r="A220" s="1" t="s">
        <v>177</v>
      </c>
      <c r="B220" s="31">
        <v>29.8</v>
      </c>
      <c r="C220" s="1" t="s">
        <v>20</v>
      </c>
      <c r="D220" s="2">
        <v>42614</v>
      </c>
      <c r="E220" s="2">
        <v>42644</v>
      </c>
      <c r="F220" s="17">
        <v>1100000</v>
      </c>
      <c r="G220" s="17">
        <v>36912.75</v>
      </c>
      <c r="H220" s="31">
        <v>1</v>
      </c>
      <c r="I220" s="1" t="s">
        <v>21</v>
      </c>
      <c r="J220" s="1" t="s">
        <v>32</v>
      </c>
      <c r="K220" s="1"/>
      <c r="L220" s="1" t="s">
        <v>172</v>
      </c>
      <c r="M220" s="1" t="s">
        <v>178</v>
      </c>
      <c r="N220" s="31">
        <v>5</v>
      </c>
      <c r="O220" s="31">
        <v>1</v>
      </c>
      <c r="P220" s="32">
        <v>2005</v>
      </c>
    </row>
    <row r="221" spans="1:16" x14ac:dyDescent="0.25">
      <c r="A221" s="1" t="s">
        <v>244</v>
      </c>
      <c r="B221" s="31">
        <v>55</v>
      </c>
      <c r="C221" s="1" t="s">
        <v>20</v>
      </c>
      <c r="D221" s="2">
        <v>42767</v>
      </c>
      <c r="E221" s="2">
        <v>42767</v>
      </c>
      <c r="F221" s="17">
        <v>1100000</v>
      </c>
      <c r="G221" s="17">
        <v>20000</v>
      </c>
      <c r="H221" s="31">
        <v>1</v>
      </c>
      <c r="I221" s="1" t="s">
        <v>21</v>
      </c>
      <c r="J221" s="1" t="s">
        <v>22</v>
      </c>
      <c r="K221" s="1" t="s">
        <v>220</v>
      </c>
      <c r="L221" s="1" t="s">
        <v>218</v>
      </c>
      <c r="M221" s="1"/>
      <c r="N221" s="31">
        <v>2</v>
      </c>
      <c r="O221" s="31">
        <v>1</v>
      </c>
      <c r="P221" s="32">
        <v>2017</v>
      </c>
    </row>
    <row r="222" spans="1:16" x14ac:dyDescent="0.25">
      <c r="A222" s="1" t="s">
        <v>228</v>
      </c>
      <c r="B222" s="31">
        <v>49.7</v>
      </c>
      <c r="C222" s="1" t="s">
        <v>20</v>
      </c>
      <c r="D222" s="2">
        <v>42644</v>
      </c>
      <c r="E222" s="2">
        <v>42644</v>
      </c>
      <c r="F222" s="17">
        <v>1000000</v>
      </c>
      <c r="G222" s="17">
        <v>20120.72</v>
      </c>
      <c r="H222" s="31">
        <v>1</v>
      </c>
      <c r="I222" s="1" t="s">
        <v>21</v>
      </c>
      <c r="J222" s="1" t="s">
        <v>22</v>
      </c>
      <c r="K222" s="1" t="s">
        <v>220</v>
      </c>
      <c r="L222" s="1" t="s">
        <v>218</v>
      </c>
      <c r="M222" s="1" t="s">
        <v>225</v>
      </c>
      <c r="N222" s="31">
        <v>7</v>
      </c>
      <c r="O222" s="31">
        <v>1</v>
      </c>
      <c r="P222" s="32">
        <v>2002</v>
      </c>
    </row>
    <row r="223" spans="1:16" x14ac:dyDescent="0.25">
      <c r="A223" s="1" t="s">
        <v>226</v>
      </c>
      <c r="B223" s="31">
        <v>64.599999999999994</v>
      </c>
      <c r="C223" s="1" t="s">
        <v>20</v>
      </c>
      <c r="D223" s="2">
        <v>42705</v>
      </c>
      <c r="E223" s="2">
        <v>42705</v>
      </c>
      <c r="F223" s="17">
        <v>1300000</v>
      </c>
      <c r="G223" s="17">
        <v>20123.84</v>
      </c>
      <c r="H223" s="31">
        <v>1</v>
      </c>
      <c r="I223" s="1" t="s">
        <v>21</v>
      </c>
      <c r="J223" s="1" t="s">
        <v>22</v>
      </c>
      <c r="K223" s="1" t="s">
        <v>220</v>
      </c>
      <c r="L223" s="1" t="s">
        <v>218</v>
      </c>
      <c r="M223" s="1"/>
      <c r="N223" s="31">
        <v>1</v>
      </c>
      <c r="O223" s="31">
        <v>1</v>
      </c>
      <c r="P223" s="32">
        <v>2005</v>
      </c>
    </row>
    <row r="224" spans="1:16" x14ac:dyDescent="0.25">
      <c r="A224" s="1" t="s">
        <v>230</v>
      </c>
      <c r="B224" s="31">
        <v>58.6</v>
      </c>
      <c r="C224" s="1" t="s">
        <v>20</v>
      </c>
      <c r="D224" s="2">
        <v>42767</v>
      </c>
      <c r="E224" s="2">
        <v>42767</v>
      </c>
      <c r="F224" s="17">
        <v>1180000</v>
      </c>
      <c r="G224" s="17">
        <v>20136.52</v>
      </c>
      <c r="H224" s="31">
        <v>1</v>
      </c>
      <c r="I224" s="1" t="s">
        <v>21</v>
      </c>
      <c r="J224" s="1" t="s">
        <v>22</v>
      </c>
      <c r="K224" s="1" t="s">
        <v>220</v>
      </c>
      <c r="L224" s="1" t="s">
        <v>218</v>
      </c>
      <c r="M224" s="1" t="s">
        <v>239</v>
      </c>
      <c r="N224" s="31">
        <v>2</v>
      </c>
      <c r="O224" s="31">
        <v>1</v>
      </c>
      <c r="P224" s="32">
        <v>2007</v>
      </c>
    </row>
    <row r="225" spans="1:16" x14ac:dyDescent="0.25">
      <c r="A225" s="1" t="s">
        <v>226</v>
      </c>
      <c r="B225" s="31">
        <v>36</v>
      </c>
      <c r="C225" s="1" t="s">
        <v>20</v>
      </c>
      <c r="D225" s="2">
        <v>42767</v>
      </c>
      <c r="E225" s="2">
        <v>42767</v>
      </c>
      <c r="F225" s="17">
        <v>739000</v>
      </c>
      <c r="G225" s="17">
        <v>20527.78</v>
      </c>
      <c r="H225" s="31">
        <v>1</v>
      </c>
      <c r="I225" s="1" t="s">
        <v>21</v>
      </c>
      <c r="J225" s="1" t="s">
        <v>22</v>
      </c>
      <c r="K225" s="1" t="s">
        <v>220</v>
      </c>
      <c r="L225" s="1" t="s">
        <v>218</v>
      </c>
      <c r="M225" s="1"/>
      <c r="N225" s="31">
        <v>5</v>
      </c>
      <c r="O225" s="31">
        <v>1</v>
      </c>
      <c r="P225" s="32">
        <v>2004</v>
      </c>
    </row>
    <row r="226" spans="1:16" x14ac:dyDescent="0.25">
      <c r="A226" s="1" t="s">
        <v>232</v>
      </c>
      <c r="B226" s="31">
        <v>45.3</v>
      </c>
      <c r="C226" s="1" t="s">
        <v>20</v>
      </c>
      <c r="D226" s="2">
        <v>42705</v>
      </c>
      <c r="E226" s="2">
        <v>42705</v>
      </c>
      <c r="F226" s="17">
        <v>930000</v>
      </c>
      <c r="G226" s="17">
        <v>20529.8</v>
      </c>
      <c r="H226" s="31">
        <v>1</v>
      </c>
      <c r="I226" s="1" t="s">
        <v>21</v>
      </c>
      <c r="J226" s="1" t="s">
        <v>22</v>
      </c>
      <c r="K226" s="1" t="s">
        <v>220</v>
      </c>
      <c r="L226" s="1" t="s">
        <v>218</v>
      </c>
      <c r="M226" s="1"/>
      <c r="N226" s="31">
        <v>6</v>
      </c>
      <c r="O226" s="31">
        <v>1</v>
      </c>
      <c r="P226" s="32">
        <v>2003</v>
      </c>
    </row>
    <row r="227" spans="1:16" x14ac:dyDescent="0.25">
      <c r="A227" s="1" t="s">
        <v>219</v>
      </c>
      <c r="B227" s="31">
        <v>36.5</v>
      </c>
      <c r="C227" s="1" t="s">
        <v>20</v>
      </c>
      <c r="D227" s="2">
        <v>42675</v>
      </c>
      <c r="E227" s="2">
        <v>42705</v>
      </c>
      <c r="F227" s="17">
        <v>750000</v>
      </c>
      <c r="G227" s="17">
        <v>20547.95</v>
      </c>
      <c r="H227" s="31">
        <v>1</v>
      </c>
      <c r="I227" s="1" t="s">
        <v>21</v>
      </c>
      <c r="J227" s="1" t="s">
        <v>18</v>
      </c>
      <c r="K227" s="1" t="s">
        <v>220</v>
      </c>
      <c r="L227" s="1" t="s">
        <v>218</v>
      </c>
      <c r="M227" s="1" t="s">
        <v>235</v>
      </c>
      <c r="N227" s="31">
        <v>1</v>
      </c>
      <c r="O227" s="31">
        <v>2</v>
      </c>
      <c r="P227" s="32">
        <v>2007</v>
      </c>
    </row>
    <row r="228" spans="1:16" x14ac:dyDescent="0.25">
      <c r="A228" s="1" t="s">
        <v>219</v>
      </c>
      <c r="B228" s="31">
        <v>36.5</v>
      </c>
      <c r="C228" s="1" t="s">
        <v>20</v>
      </c>
      <c r="D228" s="2">
        <v>42675</v>
      </c>
      <c r="E228" s="2">
        <v>42705</v>
      </c>
      <c r="F228" s="17">
        <v>750000</v>
      </c>
      <c r="G228" s="17">
        <v>20547.95</v>
      </c>
      <c r="H228" s="31">
        <v>1</v>
      </c>
      <c r="I228" s="1" t="s">
        <v>21</v>
      </c>
      <c r="J228" s="1" t="s">
        <v>18</v>
      </c>
      <c r="K228" s="1" t="s">
        <v>220</v>
      </c>
      <c r="L228" s="1" t="s">
        <v>218</v>
      </c>
      <c r="M228" s="1" t="s">
        <v>235</v>
      </c>
      <c r="N228" s="31">
        <v>1</v>
      </c>
      <c r="O228" s="31">
        <v>2</v>
      </c>
      <c r="P228" s="32">
        <v>2007</v>
      </c>
    </row>
    <row r="229" spans="1:16" x14ac:dyDescent="0.25">
      <c r="A229" s="1" t="s">
        <v>222</v>
      </c>
      <c r="B229" s="31">
        <v>49.3</v>
      </c>
      <c r="C229" s="1" t="s">
        <v>20</v>
      </c>
      <c r="D229" s="2">
        <v>42675</v>
      </c>
      <c r="E229" s="2">
        <v>42675</v>
      </c>
      <c r="F229" s="17">
        <v>1040000</v>
      </c>
      <c r="G229" s="17">
        <v>21095.33</v>
      </c>
      <c r="H229" s="31">
        <v>1</v>
      </c>
      <c r="I229" s="1" t="s">
        <v>21</v>
      </c>
      <c r="J229" s="1" t="s">
        <v>22</v>
      </c>
      <c r="K229" s="1" t="s">
        <v>220</v>
      </c>
      <c r="L229" s="1" t="s">
        <v>218</v>
      </c>
      <c r="M229" s="1" t="s">
        <v>223</v>
      </c>
      <c r="N229" s="31">
        <v>5</v>
      </c>
      <c r="O229" s="31">
        <v>1</v>
      </c>
      <c r="P229" s="32">
        <v>2005</v>
      </c>
    </row>
    <row r="230" spans="1:16" x14ac:dyDescent="0.25">
      <c r="A230" s="1" t="s">
        <v>226</v>
      </c>
      <c r="B230" s="31">
        <v>45.2</v>
      </c>
      <c r="C230" s="1" t="s">
        <v>20</v>
      </c>
      <c r="D230" s="2">
        <v>42705</v>
      </c>
      <c r="E230" s="2">
        <v>42705</v>
      </c>
      <c r="F230" s="17">
        <v>970000</v>
      </c>
      <c r="G230" s="17">
        <v>21460.18</v>
      </c>
      <c r="H230" s="31">
        <v>1</v>
      </c>
      <c r="I230" s="1" t="s">
        <v>21</v>
      </c>
      <c r="J230" s="1" t="s">
        <v>32</v>
      </c>
      <c r="K230" s="1" t="s">
        <v>220</v>
      </c>
      <c r="L230" s="1" t="s">
        <v>218</v>
      </c>
      <c r="M230" s="1" t="s">
        <v>245</v>
      </c>
      <c r="N230" s="31">
        <v>5</v>
      </c>
      <c r="O230" s="31">
        <v>1</v>
      </c>
      <c r="P230" s="32">
        <v>2015</v>
      </c>
    </row>
    <row r="231" spans="1:16" x14ac:dyDescent="0.25">
      <c r="A231" s="1" t="s">
        <v>232</v>
      </c>
      <c r="B231" s="31">
        <v>67.5</v>
      </c>
      <c r="C231" s="1" t="s">
        <v>20</v>
      </c>
      <c r="D231" s="2">
        <v>42767</v>
      </c>
      <c r="E231" s="2">
        <v>42795</v>
      </c>
      <c r="F231" s="17">
        <v>1450000</v>
      </c>
      <c r="G231" s="17">
        <v>21481.48</v>
      </c>
      <c r="H231" s="31">
        <v>1</v>
      </c>
      <c r="I231" s="1" t="s">
        <v>21</v>
      </c>
      <c r="J231" s="1" t="s">
        <v>32</v>
      </c>
      <c r="K231" s="1" t="s">
        <v>220</v>
      </c>
      <c r="L231" s="1" t="s">
        <v>218</v>
      </c>
      <c r="M231" s="1"/>
      <c r="N231" s="31">
        <v>6</v>
      </c>
      <c r="O231" s="31">
        <v>2</v>
      </c>
      <c r="P231" s="32">
        <v>2000</v>
      </c>
    </row>
    <row r="232" spans="1:16" x14ac:dyDescent="0.25">
      <c r="A232" s="1" t="s">
        <v>232</v>
      </c>
      <c r="B232" s="31">
        <v>67.5</v>
      </c>
      <c r="C232" s="1" t="s">
        <v>20</v>
      </c>
      <c r="D232" s="2">
        <v>42767</v>
      </c>
      <c r="E232" s="2">
        <v>42795</v>
      </c>
      <c r="F232" s="17">
        <v>1450000</v>
      </c>
      <c r="G232" s="17">
        <v>21481.48</v>
      </c>
      <c r="H232" s="31">
        <v>1</v>
      </c>
      <c r="I232" s="1" t="s">
        <v>21</v>
      </c>
      <c r="J232" s="1" t="s">
        <v>32</v>
      </c>
      <c r="K232" s="1" t="s">
        <v>220</v>
      </c>
      <c r="L232" s="1" t="s">
        <v>218</v>
      </c>
      <c r="M232" s="1"/>
      <c r="N232" s="31">
        <v>6</v>
      </c>
      <c r="O232" s="31">
        <v>2</v>
      </c>
      <c r="P232" s="32">
        <v>2000</v>
      </c>
    </row>
    <row r="233" spans="1:16" x14ac:dyDescent="0.25">
      <c r="A233" s="1" t="s">
        <v>233</v>
      </c>
      <c r="B233" s="31">
        <v>57.7</v>
      </c>
      <c r="C233" s="1" t="s">
        <v>20</v>
      </c>
      <c r="D233" s="2">
        <v>42675</v>
      </c>
      <c r="E233" s="2">
        <v>42705</v>
      </c>
      <c r="F233" s="17">
        <v>1275000</v>
      </c>
      <c r="G233" s="17">
        <v>22097.05</v>
      </c>
      <c r="H233" s="31">
        <v>1</v>
      </c>
      <c r="I233" s="1" t="s">
        <v>21</v>
      </c>
      <c r="J233" s="1" t="s">
        <v>32</v>
      </c>
      <c r="K233" s="1" t="s">
        <v>220</v>
      </c>
      <c r="L233" s="1" t="s">
        <v>218</v>
      </c>
      <c r="M233" s="1"/>
      <c r="N233" s="31">
        <v>4</v>
      </c>
      <c r="O233" s="31">
        <v>2</v>
      </c>
      <c r="P233" s="32">
        <v>2000</v>
      </c>
    </row>
    <row r="234" spans="1:16" x14ac:dyDescent="0.25">
      <c r="A234" s="1" t="s">
        <v>233</v>
      </c>
      <c r="B234" s="31">
        <v>57.7</v>
      </c>
      <c r="C234" s="1" t="s">
        <v>20</v>
      </c>
      <c r="D234" s="2">
        <v>42675</v>
      </c>
      <c r="E234" s="2">
        <v>42705</v>
      </c>
      <c r="F234" s="17">
        <v>1275000</v>
      </c>
      <c r="G234" s="17">
        <v>22097.05</v>
      </c>
      <c r="H234" s="31">
        <v>1</v>
      </c>
      <c r="I234" s="1" t="s">
        <v>21</v>
      </c>
      <c r="J234" s="1" t="s">
        <v>32</v>
      </c>
      <c r="K234" s="1" t="s">
        <v>220</v>
      </c>
      <c r="L234" s="1" t="s">
        <v>218</v>
      </c>
      <c r="M234" s="1"/>
      <c r="N234" s="31">
        <v>4</v>
      </c>
      <c r="O234" s="31">
        <v>2</v>
      </c>
      <c r="P234" s="32">
        <v>2000</v>
      </c>
    </row>
    <row r="235" spans="1:16" x14ac:dyDescent="0.25">
      <c r="A235" s="1" t="s">
        <v>246</v>
      </c>
      <c r="B235" s="31">
        <v>55.2</v>
      </c>
      <c r="C235" s="1" t="s">
        <v>20</v>
      </c>
      <c r="D235" s="2">
        <v>42736</v>
      </c>
      <c r="E235" s="2">
        <v>42736</v>
      </c>
      <c r="F235" s="17">
        <v>1224000</v>
      </c>
      <c r="G235" s="17">
        <v>22173.91</v>
      </c>
      <c r="H235" s="31">
        <v>1</v>
      </c>
      <c r="I235" s="1" t="s">
        <v>21</v>
      </c>
      <c r="J235" s="1" t="s">
        <v>22</v>
      </c>
      <c r="K235" s="1" t="s">
        <v>220</v>
      </c>
      <c r="L235" s="1" t="s">
        <v>218</v>
      </c>
      <c r="M235" s="1" t="s">
        <v>225</v>
      </c>
      <c r="N235" s="31">
        <v>4</v>
      </c>
      <c r="O235" s="31">
        <v>1</v>
      </c>
      <c r="P235" s="32">
        <v>2006</v>
      </c>
    </row>
    <row r="236" spans="1:16" x14ac:dyDescent="0.25">
      <c r="A236" s="1" t="s">
        <v>226</v>
      </c>
      <c r="B236" s="31">
        <v>46.7</v>
      </c>
      <c r="C236" s="1" t="s">
        <v>20</v>
      </c>
      <c r="D236" s="2">
        <v>42705</v>
      </c>
      <c r="E236" s="2">
        <v>42705</v>
      </c>
      <c r="F236" s="17">
        <v>1040000</v>
      </c>
      <c r="G236" s="17">
        <v>22269.81</v>
      </c>
      <c r="H236" s="31">
        <v>1</v>
      </c>
      <c r="I236" s="1" t="s">
        <v>21</v>
      </c>
      <c r="J236" s="1" t="s">
        <v>18</v>
      </c>
      <c r="K236" s="1" t="s">
        <v>220</v>
      </c>
      <c r="L236" s="1" t="s">
        <v>218</v>
      </c>
      <c r="M236" s="1"/>
      <c r="N236" s="31">
        <v>9</v>
      </c>
      <c r="O236" s="31">
        <v>1</v>
      </c>
      <c r="P236" s="32">
        <v>2001</v>
      </c>
    </row>
    <row r="237" spans="1:16" x14ac:dyDescent="0.25">
      <c r="A237" s="1" t="s">
        <v>228</v>
      </c>
      <c r="B237" s="31">
        <v>28.9</v>
      </c>
      <c r="C237" s="1" t="s">
        <v>20</v>
      </c>
      <c r="D237" s="2">
        <v>42795</v>
      </c>
      <c r="E237" s="2">
        <v>42795</v>
      </c>
      <c r="F237" s="17">
        <v>650000</v>
      </c>
      <c r="G237" s="17">
        <v>22491.35</v>
      </c>
      <c r="H237" s="31">
        <v>1</v>
      </c>
      <c r="I237" s="1" t="s">
        <v>21</v>
      </c>
      <c r="J237" s="1" t="s">
        <v>22</v>
      </c>
      <c r="K237" s="1" t="s">
        <v>220</v>
      </c>
      <c r="L237" s="1" t="s">
        <v>218</v>
      </c>
      <c r="M237" s="1" t="s">
        <v>247</v>
      </c>
      <c r="N237" s="31">
        <v>3</v>
      </c>
      <c r="O237" s="31">
        <v>1</v>
      </c>
      <c r="P237" s="32">
        <v>2012</v>
      </c>
    </row>
    <row r="238" spans="1:16" x14ac:dyDescent="0.25">
      <c r="A238" s="1" t="s">
        <v>229</v>
      </c>
      <c r="B238" s="31">
        <v>44.1</v>
      </c>
      <c r="C238" s="1" t="s">
        <v>20</v>
      </c>
      <c r="D238" s="2">
        <v>42736</v>
      </c>
      <c r="E238" s="2">
        <v>42736</v>
      </c>
      <c r="F238" s="17">
        <v>1000000</v>
      </c>
      <c r="G238" s="17">
        <v>22675.74</v>
      </c>
      <c r="H238" s="31">
        <v>1</v>
      </c>
      <c r="I238" s="1" t="s">
        <v>21</v>
      </c>
      <c r="J238" s="1" t="s">
        <v>22</v>
      </c>
      <c r="K238" s="1" t="s">
        <v>220</v>
      </c>
      <c r="L238" s="1" t="s">
        <v>218</v>
      </c>
      <c r="M238" s="1" t="s">
        <v>75</v>
      </c>
      <c r="N238" s="31">
        <v>2</v>
      </c>
      <c r="O238" s="31">
        <v>1</v>
      </c>
      <c r="P238" s="32">
        <v>2001</v>
      </c>
    </row>
    <row r="239" spans="1:16" x14ac:dyDescent="0.25">
      <c r="A239" s="1" t="s">
        <v>233</v>
      </c>
      <c r="B239" s="31">
        <v>35.200000000000003</v>
      </c>
      <c r="C239" s="1" t="s">
        <v>20</v>
      </c>
      <c r="D239" s="2">
        <v>42795</v>
      </c>
      <c r="E239" s="2">
        <v>42795</v>
      </c>
      <c r="F239" s="17">
        <v>800000</v>
      </c>
      <c r="G239" s="17">
        <v>22727.27</v>
      </c>
      <c r="H239" s="31">
        <v>1</v>
      </c>
      <c r="I239" s="1" t="s">
        <v>21</v>
      </c>
      <c r="J239" s="1" t="s">
        <v>22</v>
      </c>
      <c r="K239" s="1" t="s">
        <v>220</v>
      </c>
      <c r="L239" s="1" t="s">
        <v>218</v>
      </c>
      <c r="M239" s="1" t="s">
        <v>145</v>
      </c>
      <c r="N239" s="31">
        <v>4</v>
      </c>
      <c r="O239" s="31">
        <v>1</v>
      </c>
      <c r="P239" s="32">
        <v>2005</v>
      </c>
    </row>
    <row r="240" spans="1:16" x14ac:dyDescent="0.25">
      <c r="A240" s="1" t="s">
        <v>226</v>
      </c>
      <c r="B240" s="31">
        <v>65</v>
      </c>
      <c r="C240" s="1" t="s">
        <v>20</v>
      </c>
      <c r="D240" s="2">
        <v>42705</v>
      </c>
      <c r="E240" s="2">
        <v>42705</v>
      </c>
      <c r="F240" s="17">
        <v>1487000</v>
      </c>
      <c r="G240" s="17">
        <v>22876.92</v>
      </c>
      <c r="H240" s="31">
        <v>1</v>
      </c>
      <c r="I240" s="1" t="s">
        <v>21</v>
      </c>
      <c r="J240" s="1" t="s">
        <v>22</v>
      </c>
      <c r="K240" s="1" t="s">
        <v>220</v>
      </c>
      <c r="L240" s="1" t="s">
        <v>218</v>
      </c>
      <c r="M240" s="1"/>
      <c r="N240" s="31">
        <v>1</v>
      </c>
      <c r="O240" s="31">
        <v>1</v>
      </c>
      <c r="P240" s="32">
        <v>2001</v>
      </c>
    </row>
    <row r="241" spans="1:16" x14ac:dyDescent="0.25">
      <c r="A241" s="1" t="s">
        <v>249</v>
      </c>
      <c r="B241" s="31">
        <v>53.1</v>
      </c>
      <c r="C241" s="1" t="s">
        <v>20</v>
      </c>
      <c r="D241" s="2">
        <v>42767</v>
      </c>
      <c r="E241" s="2">
        <v>42795</v>
      </c>
      <c r="F241" s="17">
        <v>1232000</v>
      </c>
      <c r="G241" s="17">
        <v>23201.51</v>
      </c>
      <c r="H241" s="31">
        <v>1</v>
      </c>
      <c r="I241" s="1" t="s">
        <v>21</v>
      </c>
      <c r="J241" s="1" t="s">
        <v>22</v>
      </c>
      <c r="K241" s="1" t="s">
        <v>220</v>
      </c>
      <c r="L241" s="1" t="s">
        <v>218</v>
      </c>
      <c r="M241" s="1" t="s">
        <v>250</v>
      </c>
      <c r="N241" s="31">
        <v>2</v>
      </c>
      <c r="O241" s="31">
        <v>1</v>
      </c>
      <c r="P241" s="32">
        <v>2005</v>
      </c>
    </row>
    <row r="242" spans="1:16" x14ac:dyDescent="0.25">
      <c r="A242" s="1" t="s">
        <v>226</v>
      </c>
      <c r="B242" s="31">
        <v>47.2</v>
      </c>
      <c r="C242" s="1" t="s">
        <v>20</v>
      </c>
      <c r="D242" s="2">
        <v>42675</v>
      </c>
      <c r="E242" s="2">
        <v>42675</v>
      </c>
      <c r="F242" s="17">
        <v>1100000</v>
      </c>
      <c r="G242" s="17">
        <v>23305.08</v>
      </c>
      <c r="H242" s="31">
        <v>1</v>
      </c>
      <c r="I242" s="1" t="s">
        <v>21</v>
      </c>
      <c r="J242" s="1" t="s">
        <v>18</v>
      </c>
      <c r="K242" s="1" t="s">
        <v>220</v>
      </c>
      <c r="L242" s="1" t="s">
        <v>218</v>
      </c>
      <c r="M242" s="1"/>
      <c r="N242" s="31">
        <v>4</v>
      </c>
      <c r="O242" s="31">
        <v>1</v>
      </c>
      <c r="P242" s="32">
        <v>2008</v>
      </c>
    </row>
    <row r="243" spans="1:16" x14ac:dyDescent="0.25">
      <c r="A243" s="1" t="s">
        <v>227</v>
      </c>
      <c r="B243" s="31">
        <v>25.2</v>
      </c>
      <c r="C243" s="1" t="s">
        <v>20</v>
      </c>
      <c r="D243" s="2">
        <v>42675</v>
      </c>
      <c r="E243" s="2">
        <v>42675</v>
      </c>
      <c r="F243" s="17">
        <v>592000</v>
      </c>
      <c r="G243" s="17">
        <v>23492.06</v>
      </c>
      <c r="H243" s="31">
        <v>1</v>
      </c>
      <c r="I243" s="1" t="s">
        <v>21</v>
      </c>
      <c r="J243" s="1" t="s">
        <v>18</v>
      </c>
      <c r="K243" s="1" t="s">
        <v>220</v>
      </c>
      <c r="L243" s="1" t="s">
        <v>218</v>
      </c>
      <c r="M243" s="1" t="s">
        <v>75</v>
      </c>
      <c r="N243" s="31">
        <v>2</v>
      </c>
      <c r="O243" s="31">
        <v>1</v>
      </c>
      <c r="P243" s="32">
        <v>2005</v>
      </c>
    </row>
    <row r="244" spans="1:16" x14ac:dyDescent="0.25">
      <c r="A244" s="1" t="s">
        <v>244</v>
      </c>
      <c r="B244" s="31">
        <v>55.1</v>
      </c>
      <c r="C244" s="1" t="s">
        <v>20</v>
      </c>
      <c r="D244" s="2">
        <v>42705</v>
      </c>
      <c r="E244" s="2">
        <v>42705</v>
      </c>
      <c r="F244" s="17">
        <v>1300000</v>
      </c>
      <c r="G244" s="17">
        <v>23593.47</v>
      </c>
      <c r="H244" s="31">
        <v>1</v>
      </c>
      <c r="I244" s="1" t="s">
        <v>21</v>
      </c>
      <c r="J244" s="1" t="s">
        <v>22</v>
      </c>
      <c r="K244" s="1" t="s">
        <v>220</v>
      </c>
      <c r="L244" s="1" t="s">
        <v>218</v>
      </c>
      <c r="M244" s="1"/>
      <c r="N244" s="31">
        <v>3</v>
      </c>
      <c r="O244" s="31">
        <v>1</v>
      </c>
      <c r="P244" s="32">
        <v>2016</v>
      </c>
    </row>
    <row r="245" spans="1:16" x14ac:dyDescent="0.25">
      <c r="A245" s="1" t="s">
        <v>236</v>
      </c>
      <c r="B245" s="31">
        <v>50.3</v>
      </c>
      <c r="C245" s="1" t="s">
        <v>20</v>
      </c>
      <c r="D245" s="2">
        <v>42705</v>
      </c>
      <c r="E245" s="2">
        <v>42705</v>
      </c>
      <c r="F245" s="17">
        <v>1200000</v>
      </c>
      <c r="G245" s="17">
        <v>23856.86</v>
      </c>
      <c r="H245" s="31">
        <v>1</v>
      </c>
      <c r="I245" s="1" t="s">
        <v>21</v>
      </c>
      <c r="J245" s="1" t="s">
        <v>18</v>
      </c>
      <c r="K245" s="1" t="s">
        <v>220</v>
      </c>
      <c r="L245" s="1" t="s">
        <v>218</v>
      </c>
      <c r="M245" s="1" t="s">
        <v>191</v>
      </c>
      <c r="N245" s="31">
        <v>3</v>
      </c>
      <c r="O245" s="31">
        <v>2</v>
      </c>
      <c r="P245" s="32">
        <v>2016</v>
      </c>
    </row>
    <row r="246" spans="1:16" x14ac:dyDescent="0.25">
      <c r="A246" s="1" t="s">
        <v>236</v>
      </c>
      <c r="B246" s="31">
        <v>50.3</v>
      </c>
      <c r="C246" s="1" t="s">
        <v>20</v>
      </c>
      <c r="D246" s="2">
        <v>42705</v>
      </c>
      <c r="E246" s="2">
        <v>42705</v>
      </c>
      <c r="F246" s="17">
        <v>1200000</v>
      </c>
      <c r="G246" s="17">
        <v>23856.86</v>
      </c>
      <c r="H246" s="31">
        <v>1</v>
      </c>
      <c r="I246" s="1" t="s">
        <v>21</v>
      </c>
      <c r="J246" s="1" t="s">
        <v>18</v>
      </c>
      <c r="K246" s="1" t="s">
        <v>220</v>
      </c>
      <c r="L246" s="1" t="s">
        <v>218</v>
      </c>
      <c r="M246" s="1" t="s">
        <v>191</v>
      </c>
      <c r="N246" s="31">
        <v>3</v>
      </c>
      <c r="O246" s="31">
        <v>2</v>
      </c>
      <c r="P246" s="32">
        <v>2016</v>
      </c>
    </row>
    <row r="247" spans="1:16" x14ac:dyDescent="0.25">
      <c r="A247" s="1" t="s">
        <v>222</v>
      </c>
      <c r="B247" s="31">
        <v>32.299999999999997</v>
      </c>
      <c r="C247" s="1" t="s">
        <v>20</v>
      </c>
      <c r="D247" s="2">
        <v>42705</v>
      </c>
      <c r="E247" s="2">
        <v>42705</v>
      </c>
      <c r="F247" s="17">
        <v>774000</v>
      </c>
      <c r="G247" s="17">
        <v>23962.85</v>
      </c>
      <c r="H247" s="31">
        <v>1</v>
      </c>
      <c r="I247" s="1" t="s">
        <v>21</v>
      </c>
      <c r="J247" s="1" t="s">
        <v>22</v>
      </c>
      <c r="K247" s="1" t="s">
        <v>220</v>
      </c>
      <c r="L247" s="1" t="s">
        <v>218</v>
      </c>
      <c r="M247" s="1" t="s">
        <v>223</v>
      </c>
      <c r="N247" s="31">
        <v>1</v>
      </c>
      <c r="O247" s="31">
        <v>1</v>
      </c>
      <c r="P247" s="32">
        <v>2009</v>
      </c>
    </row>
    <row r="248" spans="1:16" x14ac:dyDescent="0.25">
      <c r="A248" s="1" t="s">
        <v>226</v>
      </c>
      <c r="B248" s="31">
        <v>35</v>
      </c>
      <c r="C248" s="1" t="s">
        <v>20</v>
      </c>
      <c r="D248" s="2">
        <v>42736</v>
      </c>
      <c r="E248" s="2">
        <v>42736</v>
      </c>
      <c r="F248" s="17">
        <v>840000</v>
      </c>
      <c r="G248" s="17">
        <v>24000</v>
      </c>
      <c r="H248" s="31">
        <v>1</v>
      </c>
      <c r="I248" s="1" t="s">
        <v>21</v>
      </c>
      <c r="J248" s="1" t="s">
        <v>22</v>
      </c>
      <c r="K248" s="1" t="s">
        <v>220</v>
      </c>
      <c r="L248" s="1" t="s">
        <v>218</v>
      </c>
      <c r="M248" s="1"/>
      <c r="N248" s="31">
        <v>4</v>
      </c>
      <c r="O248" s="31">
        <v>1</v>
      </c>
      <c r="P248" s="32">
        <v>2003</v>
      </c>
    </row>
    <row r="249" spans="1:16" x14ac:dyDescent="0.25">
      <c r="A249" s="1" t="s">
        <v>219</v>
      </c>
      <c r="B249" s="31">
        <v>60</v>
      </c>
      <c r="C249" s="1" t="s">
        <v>20</v>
      </c>
      <c r="D249" s="2">
        <v>42795</v>
      </c>
      <c r="E249" s="2">
        <v>42795</v>
      </c>
      <c r="F249" s="17">
        <v>1450000</v>
      </c>
      <c r="G249" s="17">
        <v>24166.67</v>
      </c>
      <c r="H249" s="31">
        <v>1</v>
      </c>
      <c r="I249" s="1" t="s">
        <v>21</v>
      </c>
      <c r="J249" s="1" t="s">
        <v>22</v>
      </c>
      <c r="K249" s="1" t="s">
        <v>220</v>
      </c>
      <c r="L249" s="1" t="s">
        <v>218</v>
      </c>
      <c r="M249" s="1" t="s">
        <v>221</v>
      </c>
      <c r="N249" s="31">
        <v>5</v>
      </c>
      <c r="O249" s="31">
        <v>1</v>
      </c>
      <c r="P249" s="32">
        <v>2004</v>
      </c>
    </row>
    <row r="250" spans="1:16" x14ac:dyDescent="0.25">
      <c r="A250" s="1" t="s">
        <v>232</v>
      </c>
      <c r="B250" s="31">
        <v>49.9</v>
      </c>
      <c r="C250" s="1" t="s">
        <v>20</v>
      </c>
      <c r="D250" s="2">
        <v>42705</v>
      </c>
      <c r="E250" s="2">
        <v>42705</v>
      </c>
      <c r="F250" s="17">
        <v>1220000</v>
      </c>
      <c r="G250" s="17">
        <v>24448.9</v>
      </c>
      <c r="H250" s="31">
        <v>1</v>
      </c>
      <c r="I250" s="1" t="s">
        <v>21</v>
      </c>
      <c r="J250" s="1" t="s">
        <v>22</v>
      </c>
      <c r="K250" s="1" t="s">
        <v>220</v>
      </c>
      <c r="L250" s="1" t="s">
        <v>218</v>
      </c>
      <c r="M250" s="1" t="s">
        <v>75</v>
      </c>
      <c r="N250" s="31">
        <v>7</v>
      </c>
      <c r="O250" s="31">
        <v>2</v>
      </c>
      <c r="P250" s="32">
        <v>2008</v>
      </c>
    </row>
    <row r="251" spans="1:16" x14ac:dyDescent="0.25">
      <c r="A251" s="1" t="s">
        <v>232</v>
      </c>
      <c r="B251" s="31">
        <v>49.9</v>
      </c>
      <c r="C251" s="1" t="s">
        <v>20</v>
      </c>
      <c r="D251" s="2">
        <v>42705</v>
      </c>
      <c r="E251" s="2">
        <v>42705</v>
      </c>
      <c r="F251" s="17">
        <v>1220000</v>
      </c>
      <c r="G251" s="17">
        <v>24448.9</v>
      </c>
      <c r="H251" s="31">
        <v>1</v>
      </c>
      <c r="I251" s="1" t="s">
        <v>21</v>
      </c>
      <c r="J251" s="1" t="s">
        <v>22</v>
      </c>
      <c r="K251" s="1" t="s">
        <v>220</v>
      </c>
      <c r="L251" s="1" t="s">
        <v>218</v>
      </c>
      <c r="M251" s="1" t="s">
        <v>75</v>
      </c>
      <c r="N251" s="31">
        <v>7</v>
      </c>
      <c r="O251" s="31">
        <v>2</v>
      </c>
      <c r="P251" s="32">
        <v>2008</v>
      </c>
    </row>
    <row r="252" spans="1:16" x14ac:dyDescent="0.25">
      <c r="A252" s="1" t="s">
        <v>226</v>
      </c>
      <c r="B252" s="31">
        <v>64.599999999999994</v>
      </c>
      <c r="C252" s="1" t="s">
        <v>20</v>
      </c>
      <c r="D252" s="2">
        <v>42736</v>
      </c>
      <c r="E252" s="2">
        <v>42736</v>
      </c>
      <c r="F252" s="17">
        <v>1580000</v>
      </c>
      <c r="G252" s="17">
        <v>24458.2</v>
      </c>
      <c r="H252" s="31">
        <v>1</v>
      </c>
      <c r="I252" s="1" t="s">
        <v>21</v>
      </c>
      <c r="J252" s="1" t="s">
        <v>22</v>
      </c>
      <c r="K252" s="1" t="s">
        <v>220</v>
      </c>
      <c r="L252" s="1" t="s">
        <v>218</v>
      </c>
      <c r="M252" s="1"/>
      <c r="N252" s="31">
        <v>5</v>
      </c>
      <c r="O252" s="31">
        <v>2</v>
      </c>
      <c r="P252" s="32">
        <v>2005</v>
      </c>
    </row>
    <row r="253" spans="1:16" x14ac:dyDescent="0.25">
      <c r="A253" s="1" t="s">
        <v>226</v>
      </c>
      <c r="B253" s="31">
        <v>64.599999999999994</v>
      </c>
      <c r="C253" s="1" t="s">
        <v>20</v>
      </c>
      <c r="D253" s="2">
        <v>42736</v>
      </c>
      <c r="E253" s="2">
        <v>42736</v>
      </c>
      <c r="F253" s="17">
        <v>1580000</v>
      </c>
      <c r="G253" s="17">
        <v>24458.2</v>
      </c>
      <c r="H253" s="31">
        <v>1</v>
      </c>
      <c r="I253" s="1" t="s">
        <v>21</v>
      </c>
      <c r="J253" s="1" t="s">
        <v>22</v>
      </c>
      <c r="K253" s="1" t="s">
        <v>220</v>
      </c>
      <c r="L253" s="1" t="s">
        <v>218</v>
      </c>
      <c r="M253" s="1"/>
      <c r="N253" s="31">
        <v>5</v>
      </c>
      <c r="O253" s="31">
        <v>2</v>
      </c>
      <c r="P253" s="32">
        <v>2005</v>
      </c>
    </row>
    <row r="254" spans="1:16" x14ac:dyDescent="0.25">
      <c r="A254" s="1" t="s">
        <v>226</v>
      </c>
      <c r="B254" s="31">
        <v>17.600000000000001</v>
      </c>
      <c r="C254" s="1" t="s">
        <v>20</v>
      </c>
      <c r="D254" s="2">
        <v>42675</v>
      </c>
      <c r="E254" s="2">
        <v>42705</v>
      </c>
      <c r="F254" s="17">
        <v>433026</v>
      </c>
      <c r="G254" s="17">
        <v>24603.75</v>
      </c>
      <c r="H254" s="31">
        <v>1</v>
      </c>
      <c r="I254" s="1" t="s">
        <v>21</v>
      </c>
      <c r="J254" s="1" t="s">
        <v>18</v>
      </c>
      <c r="K254" s="1" t="s">
        <v>220</v>
      </c>
      <c r="L254" s="1" t="s">
        <v>218</v>
      </c>
      <c r="M254" s="1"/>
      <c r="N254" s="31">
        <v>2</v>
      </c>
      <c r="O254" s="31">
        <v>1</v>
      </c>
      <c r="P254" s="32">
        <v>2011</v>
      </c>
    </row>
    <row r="255" spans="1:16" x14ac:dyDescent="0.25">
      <c r="A255" s="1" t="s">
        <v>229</v>
      </c>
      <c r="B255" s="31">
        <v>41.1</v>
      </c>
      <c r="C255" s="1" t="s">
        <v>20</v>
      </c>
      <c r="D255" s="2">
        <v>42705</v>
      </c>
      <c r="E255" s="2">
        <v>42705</v>
      </c>
      <c r="F255" s="17">
        <v>1012000</v>
      </c>
      <c r="G255" s="17">
        <v>24622.87</v>
      </c>
      <c r="H255" s="31">
        <v>1</v>
      </c>
      <c r="I255" s="1" t="s">
        <v>21</v>
      </c>
      <c r="J255" s="1" t="s">
        <v>22</v>
      </c>
      <c r="K255" s="1" t="s">
        <v>220</v>
      </c>
      <c r="L255" s="1" t="s">
        <v>218</v>
      </c>
      <c r="M255" s="1"/>
      <c r="N255" s="31">
        <v>4</v>
      </c>
      <c r="O255" s="31">
        <v>1</v>
      </c>
      <c r="P255" s="32">
        <v>2006</v>
      </c>
    </row>
    <row r="256" spans="1:16" x14ac:dyDescent="0.25">
      <c r="A256" s="1" t="s">
        <v>222</v>
      </c>
      <c r="B256" s="31">
        <v>56.5</v>
      </c>
      <c r="C256" s="1" t="s">
        <v>20</v>
      </c>
      <c r="D256" s="2">
        <v>42705</v>
      </c>
      <c r="E256" s="2">
        <v>42705</v>
      </c>
      <c r="F256" s="17">
        <v>1400000</v>
      </c>
      <c r="G256" s="17">
        <v>24778.76</v>
      </c>
      <c r="H256" s="31">
        <v>1</v>
      </c>
      <c r="I256" s="1" t="s">
        <v>21</v>
      </c>
      <c r="J256" s="1" t="s">
        <v>32</v>
      </c>
      <c r="K256" s="1" t="s">
        <v>220</v>
      </c>
      <c r="L256" s="1" t="s">
        <v>218</v>
      </c>
      <c r="M256" s="1" t="s">
        <v>237</v>
      </c>
      <c r="N256" s="31">
        <v>1</v>
      </c>
      <c r="O256" s="31">
        <v>1</v>
      </c>
      <c r="P256" s="32">
        <v>2003</v>
      </c>
    </row>
    <row r="257" spans="1:16" x14ac:dyDescent="0.25">
      <c r="A257" s="1" t="s">
        <v>226</v>
      </c>
      <c r="B257" s="31">
        <v>50.8</v>
      </c>
      <c r="C257" s="1" t="s">
        <v>20</v>
      </c>
      <c r="D257" s="2">
        <v>42767</v>
      </c>
      <c r="E257" s="2">
        <v>42795</v>
      </c>
      <c r="F257" s="17">
        <v>1264000</v>
      </c>
      <c r="G257" s="17">
        <v>24881.89</v>
      </c>
      <c r="H257" s="31">
        <v>1</v>
      </c>
      <c r="I257" s="1" t="s">
        <v>21</v>
      </c>
      <c r="J257" s="1" t="s">
        <v>22</v>
      </c>
      <c r="K257" s="1" t="s">
        <v>220</v>
      </c>
      <c r="L257" s="1" t="s">
        <v>218</v>
      </c>
      <c r="M257" s="1"/>
      <c r="N257" s="31">
        <v>3</v>
      </c>
      <c r="O257" s="31">
        <v>2</v>
      </c>
      <c r="P257" s="32">
        <v>2004</v>
      </c>
    </row>
    <row r="258" spans="1:16" x14ac:dyDescent="0.25">
      <c r="A258" s="1" t="s">
        <v>226</v>
      </c>
      <c r="B258" s="31">
        <v>50.8</v>
      </c>
      <c r="C258" s="1" t="s">
        <v>20</v>
      </c>
      <c r="D258" s="2">
        <v>42767</v>
      </c>
      <c r="E258" s="2">
        <v>42795</v>
      </c>
      <c r="F258" s="17">
        <v>1264000</v>
      </c>
      <c r="G258" s="17">
        <v>24881.89</v>
      </c>
      <c r="H258" s="31">
        <v>1</v>
      </c>
      <c r="I258" s="1" t="s">
        <v>21</v>
      </c>
      <c r="J258" s="1" t="s">
        <v>22</v>
      </c>
      <c r="K258" s="1" t="s">
        <v>220</v>
      </c>
      <c r="L258" s="1" t="s">
        <v>218</v>
      </c>
      <c r="M258" s="1"/>
      <c r="N258" s="31">
        <v>3</v>
      </c>
      <c r="O258" s="31">
        <v>2</v>
      </c>
      <c r="P258" s="32">
        <v>2004</v>
      </c>
    </row>
    <row r="259" spans="1:16" x14ac:dyDescent="0.25">
      <c r="A259" s="1" t="s">
        <v>244</v>
      </c>
      <c r="B259" s="31">
        <v>42.4</v>
      </c>
      <c r="C259" s="1" t="s">
        <v>20</v>
      </c>
      <c r="D259" s="2">
        <v>42705</v>
      </c>
      <c r="E259" s="2">
        <v>42705</v>
      </c>
      <c r="F259" s="17">
        <v>1061000</v>
      </c>
      <c r="G259" s="17">
        <v>25023.58</v>
      </c>
      <c r="H259" s="31">
        <v>1</v>
      </c>
      <c r="I259" s="1" t="s">
        <v>21</v>
      </c>
      <c r="J259" s="1" t="s">
        <v>18</v>
      </c>
      <c r="K259" s="1" t="s">
        <v>220</v>
      </c>
      <c r="L259" s="1" t="s">
        <v>218</v>
      </c>
      <c r="M259" s="1"/>
      <c r="N259" s="31">
        <v>2</v>
      </c>
      <c r="O259" s="31">
        <v>1</v>
      </c>
      <c r="P259" s="32">
        <v>2016</v>
      </c>
    </row>
    <row r="260" spans="1:16" x14ac:dyDescent="0.25">
      <c r="A260" s="1" t="s">
        <v>229</v>
      </c>
      <c r="B260" s="31">
        <v>32.700000000000003</v>
      </c>
      <c r="C260" s="1" t="s">
        <v>20</v>
      </c>
      <c r="D260" s="2">
        <v>42644</v>
      </c>
      <c r="E260" s="2">
        <v>42644</v>
      </c>
      <c r="F260" s="17">
        <v>820000</v>
      </c>
      <c r="G260" s="17">
        <v>25076.45</v>
      </c>
      <c r="H260" s="31">
        <v>1</v>
      </c>
      <c r="I260" s="1" t="s">
        <v>21</v>
      </c>
      <c r="J260" s="1" t="s">
        <v>18</v>
      </c>
      <c r="K260" s="1" t="s">
        <v>220</v>
      </c>
      <c r="L260" s="1" t="s">
        <v>218</v>
      </c>
      <c r="M260" s="1"/>
      <c r="N260" s="31">
        <v>5</v>
      </c>
      <c r="O260" s="31">
        <v>1</v>
      </c>
      <c r="P260" s="32">
        <v>2004</v>
      </c>
    </row>
    <row r="261" spans="1:16" x14ac:dyDescent="0.25">
      <c r="A261" s="1" t="s">
        <v>244</v>
      </c>
      <c r="B261" s="31">
        <v>42.7</v>
      </c>
      <c r="C261" s="1" t="s">
        <v>20</v>
      </c>
      <c r="D261" s="2">
        <v>42705</v>
      </c>
      <c r="E261" s="2">
        <v>42705</v>
      </c>
      <c r="F261" s="17">
        <v>1080000</v>
      </c>
      <c r="G261" s="17">
        <v>25292.74</v>
      </c>
      <c r="H261" s="31">
        <v>1</v>
      </c>
      <c r="I261" s="1" t="s">
        <v>21</v>
      </c>
      <c r="J261" s="1" t="s">
        <v>22</v>
      </c>
      <c r="K261" s="1" t="s">
        <v>220</v>
      </c>
      <c r="L261" s="1" t="s">
        <v>218</v>
      </c>
      <c r="M261" s="1"/>
      <c r="N261" s="31">
        <v>2</v>
      </c>
      <c r="O261" s="31">
        <v>1</v>
      </c>
      <c r="P261" s="32">
        <v>2016</v>
      </c>
    </row>
    <row r="262" spans="1:16" x14ac:dyDescent="0.25">
      <c r="A262" s="1" t="s">
        <v>228</v>
      </c>
      <c r="B262" s="31">
        <v>58.4</v>
      </c>
      <c r="C262" s="1" t="s">
        <v>20</v>
      </c>
      <c r="D262" s="2">
        <v>42767</v>
      </c>
      <c r="E262" s="2">
        <v>42795</v>
      </c>
      <c r="F262" s="17">
        <v>1485000</v>
      </c>
      <c r="G262" s="17">
        <v>25428.080000000002</v>
      </c>
      <c r="H262" s="31">
        <v>1</v>
      </c>
      <c r="I262" s="1" t="s">
        <v>21</v>
      </c>
      <c r="J262" s="1" t="s">
        <v>248</v>
      </c>
      <c r="K262" s="1" t="s">
        <v>220</v>
      </c>
      <c r="L262" s="1" t="s">
        <v>218</v>
      </c>
      <c r="M262" s="1" t="s">
        <v>225</v>
      </c>
      <c r="N262" s="31">
        <v>2</v>
      </c>
      <c r="O262" s="31">
        <v>1</v>
      </c>
      <c r="P262" s="32">
        <v>2001</v>
      </c>
    </row>
    <row r="263" spans="1:16" x14ac:dyDescent="0.25">
      <c r="A263" s="1" t="s">
        <v>227</v>
      </c>
      <c r="B263" s="31">
        <v>56.2</v>
      </c>
      <c r="C263" s="1" t="s">
        <v>20</v>
      </c>
      <c r="D263" s="2">
        <v>42644</v>
      </c>
      <c r="E263" s="2">
        <v>42644</v>
      </c>
      <c r="F263" s="17">
        <v>1440000</v>
      </c>
      <c r="G263" s="17">
        <v>25622.78</v>
      </c>
      <c r="H263" s="31">
        <v>1</v>
      </c>
      <c r="I263" s="1" t="s">
        <v>21</v>
      </c>
      <c r="J263" s="1" t="s">
        <v>22</v>
      </c>
      <c r="K263" s="1" t="s">
        <v>220</v>
      </c>
      <c r="L263" s="1" t="s">
        <v>218</v>
      </c>
      <c r="M263" s="1" t="s">
        <v>75</v>
      </c>
      <c r="N263" s="31">
        <v>10</v>
      </c>
      <c r="O263" s="31">
        <v>1</v>
      </c>
      <c r="P263" s="32">
        <v>2003</v>
      </c>
    </row>
    <row r="264" spans="1:16" x14ac:dyDescent="0.25">
      <c r="A264" s="1" t="s">
        <v>219</v>
      </c>
      <c r="B264" s="31">
        <v>62.8</v>
      </c>
      <c r="C264" s="1" t="s">
        <v>20</v>
      </c>
      <c r="D264" s="2">
        <v>42675</v>
      </c>
      <c r="E264" s="2">
        <v>42675</v>
      </c>
      <c r="F264" s="17">
        <v>1630000</v>
      </c>
      <c r="G264" s="17">
        <v>25955.41</v>
      </c>
      <c r="H264" s="31">
        <v>1</v>
      </c>
      <c r="I264" s="1" t="s">
        <v>21</v>
      </c>
      <c r="J264" s="1" t="s">
        <v>22</v>
      </c>
      <c r="K264" s="1" t="s">
        <v>220</v>
      </c>
      <c r="L264" s="1" t="s">
        <v>218</v>
      </c>
      <c r="M264" s="1" t="s">
        <v>221</v>
      </c>
      <c r="N264" s="31">
        <v>5</v>
      </c>
      <c r="O264" s="31">
        <v>1</v>
      </c>
      <c r="P264" s="32">
        <v>2016</v>
      </c>
    </row>
    <row r="265" spans="1:16" x14ac:dyDescent="0.25">
      <c r="A265" s="1" t="s">
        <v>230</v>
      </c>
      <c r="B265" s="31">
        <v>32.6</v>
      </c>
      <c r="C265" s="1" t="s">
        <v>20</v>
      </c>
      <c r="D265" s="2">
        <v>42705</v>
      </c>
      <c r="E265" s="2">
        <v>42705</v>
      </c>
      <c r="F265" s="17">
        <v>848000</v>
      </c>
      <c r="G265" s="17">
        <v>26012.27</v>
      </c>
      <c r="H265" s="31">
        <v>1</v>
      </c>
      <c r="I265" s="1" t="s">
        <v>21</v>
      </c>
      <c r="J265" s="1" t="s">
        <v>18</v>
      </c>
      <c r="K265" s="1" t="s">
        <v>220</v>
      </c>
      <c r="L265" s="1" t="s">
        <v>218</v>
      </c>
      <c r="M265" s="1" t="s">
        <v>239</v>
      </c>
      <c r="N265" s="31">
        <v>2</v>
      </c>
      <c r="O265" s="31">
        <v>1</v>
      </c>
      <c r="P265" s="32">
        <v>1999</v>
      </c>
    </row>
    <row r="266" spans="1:16" x14ac:dyDescent="0.25">
      <c r="A266" s="1" t="s">
        <v>229</v>
      </c>
      <c r="B266" s="31">
        <v>43</v>
      </c>
      <c r="C266" s="1" t="s">
        <v>20</v>
      </c>
      <c r="D266" s="2">
        <v>42675</v>
      </c>
      <c r="E266" s="2">
        <v>42675</v>
      </c>
      <c r="F266" s="17">
        <v>1120000</v>
      </c>
      <c r="G266" s="17">
        <v>26046.51</v>
      </c>
      <c r="H266" s="31">
        <v>1</v>
      </c>
      <c r="I266" s="1" t="s">
        <v>21</v>
      </c>
      <c r="J266" s="1" t="s">
        <v>18</v>
      </c>
      <c r="K266" s="1" t="s">
        <v>220</v>
      </c>
      <c r="L266" s="1" t="s">
        <v>218</v>
      </c>
      <c r="M266" s="1" t="s">
        <v>223</v>
      </c>
      <c r="N266" s="31">
        <v>2</v>
      </c>
      <c r="O266" s="31">
        <v>1</v>
      </c>
      <c r="P266" s="32">
        <v>2000</v>
      </c>
    </row>
    <row r="267" spans="1:16" x14ac:dyDescent="0.25">
      <c r="A267" s="1" t="s">
        <v>228</v>
      </c>
      <c r="B267" s="31">
        <v>49</v>
      </c>
      <c r="C267" s="1" t="s">
        <v>20</v>
      </c>
      <c r="D267" s="2">
        <v>42705</v>
      </c>
      <c r="E267" s="2">
        <v>42705</v>
      </c>
      <c r="F267" s="17">
        <v>1280000</v>
      </c>
      <c r="G267" s="17">
        <v>26122.45</v>
      </c>
      <c r="H267" s="31">
        <v>1</v>
      </c>
      <c r="I267" s="1" t="s">
        <v>21</v>
      </c>
      <c r="J267" s="1" t="s">
        <v>18</v>
      </c>
      <c r="K267" s="1" t="s">
        <v>220</v>
      </c>
      <c r="L267" s="1" t="s">
        <v>218</v>
      </c>
      <c r="M267" s="1" t="s">
        <v>225</v>
      </c>
      <c r="N267" s="31">
        <v>4</v>
      </c>
      <c r="O267" s="31">
        <v>1</v>
      </c>
      <c r="P267" s="32">
        <v>2003</v>
      </c>
    </row>
    <row r="268" spans="1:16" x14ac:dyDescent="0.25">
      <c r="A268" s="1" t="s">
        <v>228</v>
      </c>
      <c r="B268" s="31">
        <v>36.6</v>
      </c>
      <c r="C268" s="1" t="s">
        <v>20</v>
      </c>
      <c r="D268" s="2">
        <v>42705</v>
      </c>
      <c r="E268" s="2">
        <v>42705</v>
      </c>
      <c r="F268" s="17">
        <v>960000</v>
      </c>
      <c r="G268" s="17">
        <v>26229.51</v>
      </c>
      <c r="H268" s="31">
        <v>1</v>
      </c>
      <c r="I268" s="1" t="s">
        <v>21</v>
      </c>
      <c r="J268" s="1" t="s">
        <v>18</v>
      </c>
      <c r="K268" s="1" t="s">
        <v>220</v>
      </c>
      <c r="L268" s="1" t="s">
        <v>218</v>
      </c>
      <c r="M268" s="1" t="s">
        <v>145</v>
      </c>
      <c r="N268" s="31">
        <v>4</v>
      </c>
      <c r="O268" s="31">
        <v>2</v>
      </c>
      <c r="P268" s="32">
        <v>1999</v>
      </c>
    </row>
    <row r="269" spans="1:16" x14ac:dyDescent="0.25">
      <c r="A269" s="1" t="s">
        <v>228</v>
      </c>
      <c r="B269" s="31">
        <v>36.6</v>
      </c>
      <c r="C269" s="1" t="s">
        <v>20</v>
      </c>
      <c r="D269" s="2">
        <v>42705</v>
      </c>
      <c r="E269" s="2">
        <v>42705</v>
      </c>
      <c r="F269" s="17">
        <v>960000</v>
      </c>
      <c r="G269" s="17">
        <v>26229.51</v>
      </c>
      <c r="H269" s="31">
        <v>1</v>
      </c>
      <c r="I269" s="1" t="s">
        <v>21</v>
      </c>
      <c r="J269" s="1" t="s">
        <v>18</v>
      </c>
      <c r="K269" s="1" t="s">
        <v>220</v>
      </c>
      <c r="L269" s="1" t="s">
        <v>218</v>
      </c>
      <c r="M269" s="1" t="s">
        <v>145</v>
      </c>
      <c r="N269" s="31">
        <v>4</v>
      </c>
      <c r="O269" s="31">
        <v>2</v>
      </c>
      <c r="P269" s="32">
        <v>1999</v>
      </c>
    </row>
    <row r="270" spans="1:16" x14ac:dyDescent="0.25">
      <c r="A270" s="1" t="s">
        <v>226</v>
      </c>
      <c r="B270" s="31">
        <v>29.9</v>
      </c>
      <c r="C270" s="1" t="s">
        <v>20</v>
      </c>
      <c r="D270" s="2">
        <v>42705</v>
      </c>
      <c r="E270" s="2">
        <v>42705</v>
      </c>
      <c r="F270" s="17">
        <v>800000</v>
      </c>
      <c r="G270" s="17">
        <v>26755.85</v>
      </c>
      <c r="H270" s="31">
        <v>1</v>
      </c>
      <c r="I270" s="1" t="s">
        <v>21</v>
      </c>
      <c r="J270" s="1" t="s">
        <v>22</v>
      </c>
      <c r="K270" s="1" t="s">
        <v>220</v>
      </c>
      <c r="L270" s="1" t="s">
        <v>218</v>
      </c>
      <c r="M270" s="1"/>
      <c r="N270" s="31">
        <v>4</v>
      </c>
      <c r="O270" s="31">
        <v>2</v>
      </c>
      <c r="P270" s="32">
        <v>2002</v>
      </c>
    </row>
    <row r="271" spans="1:16" x14ac:dyDescent="0.25">
      <c r="A271" s="1" t="s">
        <v>226</v>
      </c>
      <c r="B271" s="31">
        <v>29.9</v>
      </c>
      <c r="C271" s="1" t="s">
        <v>20</v>
      </c>
      <c r="D271" s="2">
        <v>42705</v>
      </c>
      <c r="E271" s="2">
        <v>42705</v>
      </c>
      <c r="F271" s="17">
        <v>800000</v>
      </c>
      <c r="G271" s="17">
        <v>26755.85</v>
      </c>
      <c r="H271" s="31">
        <v>1</v>
      </c>
      <c r="I271" s="1" t="s">
        <v>21</v>
      </c>
      <c r="J271" s="1" t="s">
        <v>22</v>
      </c>
      <c r="K271" s="1" t="s">
        <v>220</v>
      </c>
      <c r="L271" s="1" t="s">
        <v>218</v>
      </c>
      <c r="M271" s="1"/>
      <c r="N271" s="31">
        <v>4</v>
      </c>
      <c r="O271" s="31">
        <v>2</v>
      </c>
      <c r="P271" s="32">
        <v>2002</v>
      </c>
    </row>
    <row r="272" spans="1:16" x14ac:dyDescent="0.25">
      <c r="A272" s="1" t="s">
        <v>226</v>
      </c>
      <c r="B272" s="31">
        <v>46</v>
      </c>
      <c r="C272" s="1" t="s">
        <v>20</v>
      </c>
      <c r="D272" s="2">
        <v>42705</v>
      </c>
      <c r="E272" s="2">
        <v>42705</v>
      </c>
      <c r="F272" s="17">
        <v>1240000</v>
      </c>
      <c r="G272" s="17">
        <v>26956.52</v>
      </c>
      <c r="H272" s="31">
        <v>1</v>
      </c>
      <c r="I272" s="1" t="s">
        <v>21</v>
      </c>
      <c r="J272" s="1" t="s">
        <v>22</v>
      </c>
      <c r="K272" s="1" t="s">
        <v>220</v>
      </c>
      <c r="L272" s="1" t="s">
        <v>218</v>
      </c>
      <c r="M272" s="1"/>
      <c r="N272" s="31">
        <v>2</v>
      </c>
      <c r="O272" s="31">
        <v>1</v>
      </c>
      <c r="P272" s="32">
        <v>2007</v>
      </c>
    </row>
    <row r="273" spans="1:16" x14ac:dyDescent="0.25">
      <c r="A273" s="1" t="s">
        <v>226</v>
      </c>
      <c r="B273" s="31">
        <v>47.1</v>
      </c>
      <c r="C273" s="1" t="s">
        <v>20</v>
      </c>
      <c r="D273" s="2">
        <v>42795</v>
      </c>
      <c r="E273" s="2">
        <v>42795</v>
      </c>
      <c r="F273" s="17">
        <v>1280000</v>
      </c>
      <c r="G273" s="17">
        <v>27176.22</v>
      </c>
      <c r="H273" s="31">
        <v>1</v>
      </c>
      <c r="I273" s="1" t="s">
        <v>21</v>
      </c>
      <c r="J273" s="1" t="s">
        <v>22</v>
      </c>
      <c r="K273" s="1" t="s">
        <v>220</v>
      </c>
      <c r="L273" s="1" t="s">
        <v>218</v>
      </c>
      <c r="M273" s="1"/>
      <c r="N273" s="31">
        <v>6</v>
      </c>
      <c r="O273" s="31">
        <v>1</v>
      </c>
      <c r="P273" s="32">
        <v>2011</v>
      </c>
    </row>
    <row r="274" spans="1:16" x14ac:dyDescent="0.25">
      <c r="A274" s="1" t="s">
        <v>226</v>
      </c>
      <c r="B274" s="31">
        <v>60.5</v>
      </c>
      <c r="C274" s="1" t="s">
        <v>20</v>
      </c>
      <c r="D274" s="2">
        <v>42644</v>
      </c>
      <c r="E274" s="2">
        <v>42644</v>
      </c>
      <c r="F274" s="17">
        <v>1650000</v>
      </c>
      <c r="G274" s="17">
        <v>27272.73</v>
      </c>
      <c r="H274" s="31">
        <v>1</v>
      </c>
      <c r="I274" s="1" t="s">
        <v>21</v>
      </c>
      <c r="J274" s="1" t="s">
        <v>22</v>
      </c>
      <c r="K274" s="1" t="s">
        <v>220</v>
      </c>
      <c r="L274" s="1" t="s">
        <v>218</v>
      </c>
      <c r="M274" s="1"/>
      <c r="N274" s="31">
        <v>7</v>
      </c>
      <c r="O274" s="31">
        <v>1</v>
      </c>
      <c r="P274" s="32">
        <v>2011</v>
      </c>
    </row>
    <row r="275" spans="1:16" x14ac:dyDescent="0.25">
      <c r="A275" s="1" t="s">
        <v>232</v>
      </c>
      <c r="B275" s="31">
        <v>50.6</v>
      </c>
      <c r="C275" s="1" t="s">
        <v>20</v>
      </c>
      <c r="D275" s="2">
        <v>42644</v>
      </c>
      <c r="E275" s="2">
        <v>42675</v>
      </c>
      <c r="F275" s="17">
        <v>1400000</v>
      </c>
      <c r="G275" s="17">
        <v>27667.98</v>
      </c>
      <c r="H275" s="31">
        <v>1</v>
      </c>
      <c r="I275" s="1" t="s">
        <v>21</v>
      </c>
      <c r="J275" s="1" t="s">
        <v>18</v>
      </c>
      <c r="K275" s="1" t="s">
        <v>220</v>
      </c>
      <c r="L275" s="1" t="s">
        <v>218</v>
      </c>
      <c r="M275" s="1" t="s">
        <v>225</v>
      </c>
      <c r="N275" s="31">
        <v>6</v>
      </c>
      <c r="O275" s="31">
        <v>1</v>
      </c>
      <c r="P275" s="32">
        <v>2002</v>
      </c>
    </row>
    <row r="276" spans="1:16" x14ac:dyDescent="0.25">
      <c r="A276" s="1" t="s">
        <v>226</v>
      </c>
      <c r="B276" s="31">
        <v>46</v>
      </c>
      <c r="C276" s="1" t="s">
        <v>20</v>
      </c>
      <c r="D276" s="2">
        <v>42767</v>
      </c>
      <c r="E276" s="2">
        <v>42767</v>
      </c>
      <c r="F276" s="17">
        <v>1280000</v>
      </c>
      <c r="G276" s="17">
        <v>27826.09</v>
      </c>
      <c r="H276" s="31">
        <v>1</v>
      </c>
      <c r="I276" s="1" t="s">
        <v>21</v>
      </c>
      <c r="J276" s="1" t="s">
        <v>22</v>
      </c>
      <c r="K276" s="1" t="s">
        <v>220</v>
      </c>
      <c r="L276" s="1" t="s">
        <v>218</v>
      </c>
      <c r="M276" s="1"/>
      <c r="N276" s="31">
        <v>1</v>
      </c>
      <c r="O276" s="31">
        <v>1</v>
      </c>
      <c r="P276" s="32">
        <v>2008</v>
      </c>
    </row>
    <row r="277" spans="1:16" x14ac:dyDescent="0.25">
      <c r="A277" s="1" t="s">
        <v>226</v>
      </c>
      <c r="B277" s="31">
        <v>37.1</v>
      </c>
      <c r="C277" s="1" t="s">
        <v>20</v>
      </c>
      <c r="D277" s="2">
        <v>42736</v>
      </c>
      <c r="E277" s="2">
        <v>42767</v>
      </c>
      <c r="F277" s="17">
        <v>1032500</v>
      </c>
      <c r="G277" s="17">
        <v>27830.19</v>
      </c>
      <c r="H277" s="31">
        <v>1</v>
      </c>
      <c r="I277" s="1" t="s">
        <v>21</v>
      </c>
      <c r="J277" s="1" t="s">
        <v>18</v>
      </c>
      <c r="K277" s="1" t="s">
        <v>220</v>
      </c>
      <c r="L277" s="1" t="s">
        <v>218</v>
      </c>
      <c r="M277" s="1" t="s">
        <v>245</v>
      </c>
      <c r="N277" s="31">
        <v>1</v>
      </c>
      <c r="O277" s="31">
        <v>1</v>
      </c>
      <c r="P277" s="32">
        <v>2013</v>
      </c>
    </row>
    <row r="278" spans="1:16" x14ac:dyDescent="0.25">
      <c r="A278" s="1" t="s">
        <v>226</v>
      </c>
      <c r="B278" s="31">
        <v>39.700000000000003</v>
      </c>
      <c r="C278" s="1" t="s">
        <v>20</v>
      </c>
      <c r="D278" s="2">
        <v>42736</v>
      </c>
      <c r="E278" s="2">
        <v>42767</v>
      </c>
      <c r="F278" s="17">
        <v>1105000</v>
      </c>
      <c r="G278" s="17">
        <v>27833.75</v>
      </c>
      <c r="H278" s="31">
        <v>1</v>
      </c>
      <c r="I278" s="1" t="s">
        <v>21</v>
      </c>
      <c r="J278" s="1" t="s">
        <v>22</v>
      </c>
      <c r="K278" s="1" t="s">
        <v>220</v>
      </c>
      <c r="L278" s="1" t="s">
        <v>218</v>
      </c>
      <c r="M278" s="1"/>
      <c r="N278" s="31">
        <v>2</v>
      </c>
      <c r="O278" s="31">
        <v>1</v>
      </c>
      <c r="P278" s="32">
        <v>2006</v>
      </c>
    </row>
    <row r="279" spans="1:16" x14ac:dyDescent="0.25">
      <c r="A279" s="1" t="s">
        <v>226</v>
      </c>
      <c r="B279" s="31">
        <v>59.1</v>
      </c>
      <c r="C279" s="1" t="s">
        <v>20</v>
      </c>
      <c r="D279" s="2">
        <v>42736</v>
      </c>
      <c r="E279" s="2">
        <v>42736</v>
      </c>
      <c r="F279" s="17">
        <v>1670000</v>
      </c>
      <c r="G279" s="17">
        <v>28257.19</v>
      </c>
      <c r="H279" s="31">
        <v>1</v>
      </c>
      <c r="I279" s="1" t="s">
        <v>21</v>
      </c>
      <c r="J279" s="1" t="s">
        <v>32</v>
      </c>
      <c r="K279" s="1" t="s">
        <v>220</v>
      </c>
      <c r="L279" s="1" t="s">
        <v>218</v>
      </c>
      <c r="M279" s="1"/>
      <c r="N279" s="31">
        <v>7</v>
      </c>
      <c r="O279" s="31">
        <v>1</v>
      </c>
      <c r="P279" s="32">
        <v>2008</v>
      </c>
    </row>
    <row r="280" spans="1:16" x14ac:dyDescent="0.25">
      <c r="A280" s="1" t="s">
        <v>232</v>
      </c>
      <c r="B280" s="31">
        <v>52</v>
      </c>
      <c r="C280" s="1" t="s">
        <v>20</v>
      </c>
      <c r="D280" s="2">
        <v>42705</v>
      </c>
      <c r="E280" s="2">
        <v>42705</v>
      </c>
      <c r="F280" s="17">
        <v>1480000</v>
      </c>
      <c r="G280" s="17">
        <v>28461.54</v>
      </c>
      <c r="H280" s="31">
        <v>1</v>
      </c>
      <c r="I280" s="1" t="s">
        <v>21</v>
      </c>
      <c r="J280" s="1" t="s">
        <v>22</v>
      </c>
      <c r="K280" s="1" t="s">
        <v>220</v>
      </c>
      <c r="L280" s="1" t="s">
        <v>218</v>
      </c>
      <c r="M280" s="1"/>
      <c r="N280" s="31">
        <v>8</v>
      </c>
      <c r="O280" s="31">
        <v>1</v>
      </c>
      <c r="P280" s="32">
        <v>2015</v>
      </c>
    </row>
    <row r="281" spans="1:16" x14ac:dyDescent="0.25">
      <c r="A281" s="1" t="s">
        <v>240</v>
      </c>
      <c r="B281" s="31">
        <v>98.3</v>
      </c>
      <c r="C281" s="1" t="s">
        <v>20</v>
      </c>
      <c r="D281" s="2">
        <v>42705</v>
      </c>
      <c r="E281" s="2">
        <v>42705</v>
      </c>
      <c r="F281" s="17">
        <v>2800000</v>
      </c>
      <c r="G281" s="17">
        <v>28484.23</v>
      </c>
      <c r="H281" s="31">
        <v>1</v>
      </c>
      <c r="I281" s="1" t="s">
        <v>21</v>
      </c>
      <c r="J281" s="1" t="s">
        <v>18</v>
      </c>
      <c r="K281" s="1" t="s">
        <v>220</v>
      </c>
      <c r="L281" s="1" t="s">
        <v>218</v>
      </c>
      <c r="M281" s="1" t="s">
        <v>241</v>
      </c>
      <c r="N281" s="31">
        <v>1</v>
      </c>
      <c r="O281" s="31">
        <v>1</v>
      </c>
      <c r="P281" s="32">
        <v>2016</v>
      </c>
    </row>
    <row r="282" spans="1:16" x14ac:dyDescent="0.25">
      <c r="A282" s="1" t="s">
        <v>219</v>
      </c>
      <c r="B282" s="31">
        <v>37.4</v>
      </c>
      <c r="C282" s="1" t="s">
        <v>20</v>
      </c>
      <c r="D282" s="2">
        <v>42705</v>
      </c>
      <c r="E282" s="2">
        <v>42705</v>
      </c>
      <c r="F282" s="17">
        <v>1080000</v>
      </c>
      <c r="G282" s="17">
        <v>28877.01</v>
      </c>
      <c r="H282" s="31">
        <v>1</v>
      </c>
      <c r="I282" s="1" t="s">
        <v>21</v>
      </c>
      <c r="J282" s="1" t="s">
        <v>22</v>
      </c>
      <c r="K282" s="1" t="s">
        <v>220</v>
      </c>
      <c r="L282" s="1" t="s">
        <v>218</v>
      </c>
      <c r="M282" s="1" t="s">
        <v>221</v>
      </c>
      <c r="N282" s="31">
        <v>4</v>
      </c>
      <c r="O282" s="31">
        <v>1</v>
      </c>
      <c r="P282" s="32">
        <v>2008</v>
      </c>
    </row>
    <row r="283" spans="1:16" x14ac:dyDescent="0.25">
      <c r="A283" s="1" t="s">
        <v>228</v>
      </c>
      <c r="B283" s="31">
        <v>50.8</v>
      </c>
      <c r="C283" s="1" t="s">
        <v>20</v>
      </c>
      <c r="D283" s="2">
        <v>42767</v>
      </c>
      <c r="E283" s="2">
        <v>42767</v>
      </c>
      <c r="F283" s="17">
        <v>1480000</v>
      </c>
      <c r="G283" s="17">
        <v>29133.86</v>
      </c>
      <c r="H283" s="31">
        <v>1</v>
      </c>
      <c r="I283" s="1" t="s">
        <v>21</v>
      </c>
      <c r="J283" s="1" t="s">
        <v>22</v>
      </c>
      <c r="K283" s="1" t="s">
        <v>220</v>
      </c>
      <c r="L283" s="1" t="s">
        <v>218</v>
      </c>
      <c r="M283" s="1" t="s">
        <v>75</v>
      </c>
      <c r="N283" s="31">
        <v>3</v>
      </c>
      <c r="O283" s="31">
        <v>1</v>
      </c>
      <c r="P283" s="32">
        <v>2005</v>
      </c>
    </row>
    <row r="284" spans="1:16" x14ac:dyDescent="0.25">
      <c r="A284" s="1" t="s">
        <v>228</v>
      </c>
      <c r="B284" s="31">
        <v>47.8</v>
      </c>
      <c r="C284" s="1" t="s">
        <v>20</v>
      </c>
      <c r="D284" s="2">
        <v>42705</v>
      </c>
      <c r="E284" s="2">
        <v>42705</v>
      </c>
      <c r="F284" s="17">
        <v>1395000</v>
      </c>
      <c r="G284" s="17">
        <v>29184.1</v>
      </c>
      <c r="H284" s="31">
        <v>1</v>
      </c>
      <c r="I284" s="1" t="s">
        <v>21</v>
      </c>
      <c r="J284" s="1" t="s">
        <v>22</v>
      </c>
      <c r="K284" s="1" t="s">
        <v>220</v>
      </c>
      <c r="L284" s="1" t="s">
        <v>218</v>
      </c>
      <c r="M284" s="1" t="s">
        <v>49</v>
      </c>
      <c r="N284" s="31">
        <v>5</v>
      </c>
      <c r="O284" s="31">
        <v>1</v>
      </c>
      <c r="P284" s="32">
        <v>2016</v>
      </c>
    </row>
    <row r="285" spans="1:16" x14ac:dyDescent="0.25">
      <c r="A285" s="1" t="s">
        <v>226</v>
      </c>
      <c r="B285" s="31">
        <v>34</v>
      </c>
      <c r="C285" s="1" t="s">
        <v>20</v>
      </c>
      <c r="D285" s="2">
        <v>42795</v>
      </c>
      <c r="E285" s="2">
        <v>42795</v>
      </c>
      <c r="F285" s="17">
        <v>1000000</v>
      </c>
      <c r="G285" s="17">
        <v>29411.759999999998</v>
      </c>
      <c r="H285" s="31">
        <v>1</v>
      </c>
      <c r="I285" s="1" t="s">
        <v>21</v>
      </c>
      <c r="J285" s="1" t="s">
        <v>251</v>
      </c>
      <c r="K285" s="1" t="s">
        <v>220</v>
      </c>
      <c r="L285" s="1" t="s">
        <v>218</v>
      </c>
      <c r="M285" s="1"/>
      <c r="N285" s="31">
        <v>5</v>
      </c>
      <c r="O285" s="31">
        <v>1</v>
      </c>
      <c r="P285" s="32">
        <v>2005</v>
      </c>
    </row>
    <row r="286" spans="1:16" x14ac:dyDescent="0.25">
      <c r="A286" s="1" t="s">
        <v>227</v>
      </c>
      <c r="B286" s="31">
        <v>56.6</v>
      </c>
      <c r="C286" s="1" t="s">
        <v>20</v>
      </c>
      <c r="D286" s="2">
        <v>42675</v>
      </c>
      <c r="E286" s="2">
        <v>42675</v>
      </c>
      <c r="F286" s="17">
        <v>1680000</v>
      </c>
      <c r="G286" s="17">
        <v>29681.98</v>
      </c>
      <c r="H286" s="31">
        <v>1</v>
      </c>
      <c r="I286" s="1" t="s">
        <v>21</v>
      </c>
      <c r="J286" s="1" t="s">
        <v>22</v>
      </c>
      <c r="K286" s="1" t="s">
        <v>220</v>
      </c>
      <c r="L286" s="1" t="s">
        <v>218</v>
      </c>
      <c r="M286" s="1" t="s">
        <v>75</v>
      </c>
      <c r="N286" s="31">
        <v>8</v>
      </c>
      <c r="O286" s="31">
        <v>2</v>
      </c>
      <c r="P286" s="32">
        <v>2002</v>
      </c>
    </row>
    <row r="287" spans="1:16" x14ac:dyDescent="0.25">
      <c r="A287" s="1" t="s">
        <v>227</v>
      </c>
      <c r="B287" s="31">
        <v>56.6</v>
      </c>
      <c r="C287" s="1" t="s">
        <v>20</v>
      </c>
      <c r="D287" s="2">
        <v>42675</v>
      </c>
      <c r="E287" s="2">
        <v>42675</v>
      </c>
      <c r="F287" s="17">
        <v>1680000</v>
      </c>
      <c r="G287" s="17">
        <v>29681.98</v>
      </c>
      <c r="H287" s="31">
        <v>1</v>
      </c>
      <c r="I287" s="1" t="s">
        <v>21</v>
      </c>
      <c r="J287" s="1" t="s">
        <v>22</v>
      </c>
      <c r="K287" s="1" t="s">
        <v>220</v>
      </c>
      <c r="L287" s="1" t="s">
        <v>218</v>
      </c>
      <c r="M287" s="1" t="s">
        <v>75</v>
      </c>
      <c r="N287" s="31">
        <v>8</v>
      </c>
      <c r="O287" s="31">
        <v>2</v>
      </c>
      <c r="P287" s="32">
        <v>2002</v>
      </c>
    </row>
    <row r="288" spans="1:16" x14ac:dyDescent="0.25">
      <c r="A288" s="1" t="s">
        <v>219</v>
      </c>
      <c r="B288" s="31">
        <v>49.5</v>
      </c>
      <c r="C288" s="1" t="s">
        <v>20</v>
      </c>
      <c r="D288" s="2">
        <v>42705</v>
      </c>
      <c r="E288" s="2">
        <v>42705</v>
      </c>
      <c r="F288" s="17">
        <v>1488000</v>
      </c>
      <c r="G288" s="17">
        <v>30060.61</v>
      </c>
      <c r="H288" s="31">
        <v>1</v>
      </c>
      <c r="I288" s="1" t="s">
        <v>21</v>
      </c>
      <c r="J288" s="1" t="s">
        <v>22</v>
      </c>
      <c r="K288" s="1" t="s">
        <v>220</v>
      </c>
      <c r="L288" s="1" t="s">
        <v>218</v>
      </c>
      <c r="M288" s="1" t="s">
        <v>221</v>
      </c>
      <c r="N288" s="31">
        <v>4</v>
      </c>
      <c r="O288" s="31">
        <v>2</v>
      </c>
      <c r="P288" s="32">
        <v>2003</v>
      </c>
    </row>
    <row r="289" spans="1:16" x14ac:dyDescent="0.25">
      <c r="A289" s="1" t="s">
        <v>219</v>
      </c>
      <c r="B289" s="31">
        <v>49.5</v>
      </c>
      <c r="C289" s="1" t="s">
        <v>20</v>
      </c>
      <c r="D289" s="2">
        <v>42705</v>
      </c>
      <c r="E289" s="2">
        <v>42705</v>
      </c>
      <c r="F289" s="17">
        <v>1488000</v>
      </c>
      <c r="G289" s="17">
        <v>30060.61</v>
      </c>
      <c r="H289" s="31">
        <v>1</v>
      </c>
      <c r="I289" s="1" t="s">
        <v>21</v>
      </c>
      <c r="J289" s="1" t="s">
        <v>22</v>
      </c>
      <c r="K289" s="1" t="s">
        <v>220</v>
      </c>
      <c r="L289" s="1" t="s">
        <v>218</v>
      </c>
      <c r="M289" s="1" t="s">
        <v>221</v>
      </c>
      <c r="N289" s="31">
        <v>4</v>
      </c>
      <c r="O289" s="31">
        <v>2</v>
      </c>
      <c r="P289" s="32">
        <v>2003</v>
      </c>
    </row>
    <row r="290" spans="1:16" x14ac:dyDescent="0.25">
      <c r="A290" s="1" t="s">
        <v>232</v>
      </c>
      <c r="B290" s="31">
        <v>37.200000000000003</v>
      </c>
      <c r="C290" s="1" t="s">
        <v>20</v>
      </c>
      <c r="D290" s="2">
        <v>42675</v>
      </c>
      <c r="E290" s="2">
        <v>42675</v>
      </c>
      <c r="F290" s="17">
        <v>1120000</v>
      </c>
      <c r="G290" s="17">
        <v>30107.53</v>
      </c>
      <c r="H290" s="31">
        <v>1</v>
      </c>
      <c r="I290" s="1" t="s">
        <v>21</v>
      </c>
      <c r="J290" s="1" t="s">
        <v>32</v>
      </c>
      <c r="K290" s="1" t="s">
        <v>220</v>
      </c>
      <c r="L290" s="1" t="s">
        <v>218</v>
      </c>
      <c r="M290" s="1" t="s">
        <v>225</v>
      </c>
      <c r="N290" s="31">
        <v>5</v>
      </c>
      <c r="O290" s="31">
        <v>2</v>
      </c>
      <c r="P290" s="32">
        <v>2004</v>
      </c>
    </row>
    <row r="291" spans="1:16" x14ac:dyDescent="0.25">
      <c r="A291" s="1" t="s">
        <v>232</v>
      </c>
      <c r="B291" s="31">
        <v>37.200000000000003</v>
      </c>
      <c r="C291" s="1" t="s">
        <v>20</v>
      </c>
      <c r="D291" s="2">
        <v>42675</v>
      </c>
      <c r="E291" s="2">
        <v>42675</v>
      </c>
      <c r="F291" s="17">
        <v>1120000</v>
      </c>
      <c r="G291" s="17">
        <v>30107.53</v>
      </c>
      <c r="H291" s="31">
        <v>1</v>
      </c>
      <c r="I291" s="1" t="s">
        <v>21</v>
      </c>
      <c r="J291" s="1" t="s">
        <v>32</v>
      </c>
      <c r="K291" s="1" t="s">
        <v>220</v>
      </c>
      <c r="L291" s="1" t="s">
        <v>218</v>
      </c>
      <c r="M291" s="1" t="s">
        <v>225</v>
      </c>
      <c r="N291" s="31">
        <v>5</v>
      </c>
      <c r="O291" s="31">
        <v>2</v>
      </c>
      <c r="P291" s="32">
        <v>2004</v>
      </c>
    </row>
    <row r="292" spans="1:16" x14ac:dyDescent="0.25">
      <c r="A292" s="1" t="s">
        <v>232</v>
      </c>
      <c r="B292" s="31">
        <v>52.6</v>
      </c>
      <c r="C292" s="1" t="s">
        <v>20</v>
      </c>
      <c r="D292" s="2">
        <v>42675</v>
      </c>
      <c r="E292" s="2">
        <v>42675</v>
      </c>
      <c r="F292" s="17">
        <v>1600000</v>
      </c>
      <c r="G292" s="17">
        <v>30418.25</v>
      </c>
      <c r="H292" s="31">
        <v>1</v>
      </c>
      <c r="I292" s="1" t="s">
        <v>21</v>
      </c>
      <c r="J292" s="1" t="s">
        <v>18</v>
      </c>
      <c r="K292" s="1" t="s">
        <v>220</v>
      </c>
      <c r="L292" s="1" t="s">
        <v>218</v>
      </c>
      <c r="M292" s="1" t="s">
        <v>225</v>
      </c>
      <c r="N292" s="31">
        <v>3</v>
      </c>
      <c r="O292" s="31">
        <v>1</v>
      </c>
      <c r="P292" s="32">
        <v>2016</v>
      </c>
    </row>
    <row r="293" spans="1:16" x14ac:dyDescent="0.25">
      <c r="A293" s="1" t="s">
        <v>231</v>
      </c>
      <c r="B293" s="31">
        <v>43.9</v>
      </c>
      <c r="C293" s="1" t="s">
        <v>20</v>
      </c>
      <c r="D293" s="2">
        <v>42644</v>
      </c>
      <c r="E293" s="2">
        <v>42644</v>
      </c>
      <c r="F293" s="17">
        <v>1360000</v>
      </c>
      <c r="G293" s="17">
        <v>30979.5</v>
      </c>
      <c r="H293" s="31">
        <v>1</v>
      </c>
      <c r="I293" s="1" t="s">
        <v>21</v>
      </c>
      <c r="J293" s="1" t="s">
        <v>22</v>
      </c>
      <c r="K293" s="1" t="s">
        <v>220</v>
      </c>
      <c r="L293" s="1" t="s">
        <v>218</v>
      </c>
      <c r="M293" s="1"/>
      <c r="N293" s="31">
        <v>5</v>
      </c>
      <c r="O293" s="31">
        <v>1</v>
      </c>
      <c r="P293" s="32">
        <v>2010</v>
      </c>
    </row>
    <row r="294" spans="1:16" x14ac:dyDescent="0.25">
      <c r="A294" s="1" t="s">
        <v>232</v>
      </c>
      <c r="B294" s="31">
        <v>51.1</v>
      </c>
      <c r="C294" s="1" t="s">
        <v>20</v>
      </c>
      <c r="D294" s="2">
        <v>42767</v>
      </c>
      <c r="E294" s="2">
        <v>42767</v>
      </c>
      <c r="F294" s="17">
        <v>1600000</v>
      </c>
      <c r="G294" s="17">
        <v>31311.15</v>
      </c>
      <c r="H294" s="31">
        <v>1</v>
      </c>
      <c r="I294" s="1" t="s">
        <v>21</v>
      </c>
      <c r="J294" s="1" t="s">
        <v>18</v>
      </c>
      <c r="K294" s="1" t="s">
        <v>220</v>
      </c>
      <c r="L294" s="1" t="s">
        <v>218</v>
      </c>
      <c r="M294" s="1"/>
      <c r="N294" s="31">
        <v>3</v>
      </c>
      <c r="O294" s="31">
        <v>2</v>
      </c>
      <c r="P294" s="32">
        <v>2000</v>
      </c>
    </row>
    <row r="295" spans="1:16" x14ac:dyDescent="0.25">
      <c r="A295" s="1" t="s">
        <v>232</v>
      </c>
      <c r="B295" s="31">
        <v>51.1</v>
      </c>
      <c r="C295" s="1" t="s">
        <v>20</v>
      </c>
      <c r="D295" s="2">
        <v>42767</v>
      </c>
      <c r="E295" s="2">
        <v>42767</v>
      </c>
      <c r="F295" s="17">
        <v>1600000</v>
      </c>
      <c r="G295" s="17">
        <v>31311.15</v>
      </c>
      <c r="H295" s="31">
        <v>1</v>
      </c>
      <c r="I295" s="1" t="s">
        <v>21</v>
      </c>
      <c r="J295" s="1" t="s">
        <v>18</v>
      </c>
      <c r="K295" s="1" t="s">
        <v>220</v>
      </c>
      <c r="L295" s="1" t="s">
        <v>218</v>
      </c>
      <c r="M295" s="1"/>
      <c r="N295" s="31">
        <v>3</v>
      </c>
      <c r="O295" s="31">
        <v>2</v>
      </c>
      <c r="P295" s="32">
        <v>2000</v>
      </c>
    </row>
    <row r="296" spans="1:16" x14ac:dyDescent="0.25">
      <c r="A296" s="1" t="s">
        <v>222</v>
      </c>
      <c r="B296" s="31">
        <v>60.5</v>
      </c>
      <c r="C296" s="1" t="s">
        <v>20</v>
      </c>
      <c r="D296" s="2">
        <v>42675</v>
      </c>
      <c r="E296" s="2">
        <v>42675</v>
      </c>
      <c r="F296" s="17">
        <v>1911000</v>
      </c>
      <c r="G296" s="17">
        <v>31586.78</v>
      </c>
      <c r="H296" s="31">
        <v>1</v>
      </c>
      <c r="I296" s="1" t="s">
        <v>21</v>
      </c>
      <c r="J296" s="1" t="s">
        <v>22</v>
      </c>
      <c r="K296" s="1" t="s">
        <v>220</v>
      </c>
      <c r="L296" s="1" t="s">
        <v>218</v>
      </c>
      <c r="M296" s="1" t="s">
        <v>223</v>
      </c>
      <c r="N296" s="31">
        <v>5</v>
      </c>
      <c r="O296" s="31">
        <v>1</v>
      </c>
      <c r="P296" s="32">
        <v>2016</v>
      </c>
    </row>
    <row r="297" spans="1:16" x14ac:dyDescent="0.25">
      <c r="A297" s="1" t="s">
        <v>226</v>
      </c>
      <c r="B297" s="31">
        <v>58</v>
      </c>
      <c r="C297" s="1" t="s">
        <v>20</v>
      </c>
      <c r="D297" s="2">
        <v>42705</v>
      </c>
      <c r="E297" s="2">
        <v>42705</v>
      </c>
      <c r="F297" s="17">
        <v>1845000</v>
      </c>
      <c r="G297" s="17">
        <v>31810.34</v>
      </c>
      <c r="H297" s="31">
        <v>1</v>
      </c>
      <c r="I297" s="1" t="s">
        <v>21</v>
      </c>
      <c r="J297" s="1" t="s">
        <v>32</v>
      </c>
      <c r="K297" s="1" t="s">
        <v>220</v>
      </c>
      <c r="L297" s="1" t="s">
        <v>218</v>
      </c>
      <c r="M297" s="1"/>
      <c r="N297" s="31">
        <v>5</v>
      </c>
      <c r="O297" s="31">
        <v>1</v>
      </c>
      <c r="P297" s="32">
        <v>2002</v>
      </c>
    </row>
    <row r="298" spans="1:16" x14ac:dyDescent="0.25">
      <c r="A298" s="1" t="s">
        <v>233</v>
      </c>
      <c r="B298" s="31">
        <v>45.2</v>
      </c>
      <c r="C298" s="1" t="s">
        <v>20</v>
      </c>
      <c r="D298" s="2">
        <v>42644</v>
      </c>
      <c r="E298" s="2">
        <v>42675</v>
      </c>
      <c r="F298" s="17">
        <v>1450000</v>
      </c>
      <c r="G298" s="17">
        <v>32079.65</v>
      </c>
      <c r="H298" s="31">
        <v>1</v>
      </c>
      <c r="I298" s="1" t="s">
        <v>21</v>
      </c>
      <c r="J298" s="1" t="s">
        <v>22</v>
      </c>
      <c r="K298" s="1" t="s">
        <v>220</v>
      </c>
      <c r="L298" s="1" t="s">
        <v>218</v>
      </c>
      <c r="M298" s="1"/>
      <c r="N298" s="31">
        <v>2</v>
      </c>
      <c r="O298" s="31">
        <v>1</v>
      </c>
      <c r="P298" s="32">
        <v>2006</v>
      </c>
    </row>
    <row r="299" spans="1:16" x14ac:dyDescent="0.25">
      <c r="A299" s="1" t="s">
        <v>228</v>
      </c>
      <c r="B299" s="31">
        <v>61</v>
      </c>
      <c r="C299" s="1" t="s">
        <v>20</v>
      </c>
      <c r="D299" s="2">
        <v>42644</v>
      </c>
      <c r="E299" s="2">
        <v>42675</v>
      </c>
      <c r="F299" s="17">
        <v>1960000</v>
      </c>
      <c r="G299" s="17">
        <v>32131.15</v>
      </c>
      <c r="H299" s="31">
        <v>1</v>
      </c>
      <c r="I299" s="1" t="s">
        <v>21</v>
      </c>
      <c r="J299" s="1" t="s">
        <v>22</v>
      </c>
      <c r="K299" s="1" t="s">
        <v>220</v>
      </c>
      <c r="L299" s="1" t="s">
        <v>218</v>
      </c>
      <c r="M299" s="1" t="s">
        <v>75</v>
      </c>
      <c r="N299" s="31">
        <v>2</v>
      </c>
      <c r="O299" s="31">
        <v>2</v>
      </c>
      <c r="P299" s="32">
        <v>2009</v>
      </c>
    </row>
    <row r="300" spans="1:16" x14ac:dyDescent="0.25">
      <c r="A300" s="1" t="s">
        <v>228</v>
      </c>
      <c r="B300" s="31">
        <v>61</v>
      </c>
      <c r="C300" s="1" t="s">
        <v>20</v>
      </c>
      <c r="D300" s="2">
        <v>42644</v>
      </c>
      <c r="E300" s="2">
        <v>42675</v>
      </c>
      <c r="F300" s="17">
        <v>1960000</v>
      </c>
      <c r="G300" s="17">
        <v>32131.15</v>
      </c>
      <c r="H300" s="31">
        <v>1</v>
      </c>
      <c r="I300" s="1" t="s">
        <v>21</v>
      </c>
      <c r="J300" s="1" t="s">
        <v>22</v>
      </c>
      <c r="K300" s="1" t="s">
        <v>220</v>
      </c>
      <c r="L300" s="1" t="s">
        <v>218</v>
      </c>
      <c r="M300" s="1" t="s">
        <v>75</v>
      </c>
      <c r="N300" s="31">
        <v>2</v>
      </c>
      <c r="O300" s="31">
        <v>2</v>
      </c>
      <c r="P300" s="32">
        <v>2009</v>
      </c>
    </row>
    <row r="301" spans="1:16" x14ac:dyDescent="0.25">
      <c r="A301" s="1" t="s">
        <v>226</v>
      </c>
      <c r="B301" s="31">
        <v>30.4</v>
      </c>
      <c r="C301" s="1" t="s">
        <v>20</v>
      </c>
      <c r="D301" s="2">
        <v>42614</v>
      </c>
      <c r="E301" s="2">
        <v>42644</v>
      </c>
      <c r="F301" s="17">
        <v>1000000</v>
      </c>
      <c r="G301" s="17">
        <v>32894.74</v>
      </c>
      <c r="H301" s="31">
        <v>1</v>
      </c>
      <c r="I301" s="1" t="s">
        <v>21</v>
      </c>
      <c r="J301" s="1" t="s">
        <v>18</v>
      </c>
      <c r="K301" s="1" t="s">
        <v>220</v>
      </c>
      <c r="L301" s="1" t="s">
        <v>218</v>
      </c>
      <c r="M301" s="1"/>
      <c r="N301" s="31">
        <v>1</v>
      </c>
      <c r="O301" s="31">
        <v>1</v>
      </c>
      <c r="P301" s="32">
        <v>2009</v>
      </c>
    </row>
    <row r="302" spans="1:16" x14ac:dyDescent="0.25">
      <c r="A302" s="1" t="s">
        <v>224</v>
      </c>
      <c r="B302" s="31">
        <v>29.2</v>
      </c>
      <c r="C302" s="1" t="s">
        <v>20</v>
      </c>
      <c r="D302" s="2">
        <v>42614</v>
      </c>
      <c r="E302" s="2">
        <v>42644</v>
      </c>
      <c r="F302" s="17">
        <v>1000000</v>
      </c>
      <c r="G302" s="17">
        <v>34246.58</v>
      </c>
      <c r="H302" s="31">
        <v>1</v>
      </c>
      <c r="I302" s="1" t="s">
        <v>21</v>
      </c>
      <c r="J302" s="1" t="s">
        <v>22</v>
      </c>
      <c r="K302" s="1" t="s">
        <v>220</v>
      </c>
      <c r="L302" s="1" t="s">
        <v>218</v>
      </c>
      <c r="M302" s="1" t="s">
        <v>225</v>
      </c>
      <c r="N302" s="31">
        <v>1</v>
      </c>
      <c r="O302" s="31">
        <v>1</v>
      </c>
      <c r="P302" s="32">
        <v>2006</v>
      </c>
    </row>
    <row r="303" spans="1:16" x14ac:dyDescent="0.25">
      <c r="A303" s="1" t="s">
        <v>228</v>
      </c>
      <c r="B303" s="31">
        <v>34.799999999999997</v>
      </c>
      <c r="C303" s="1" t="s">
        <v>20</v>
      </c>
      <c r="D303" s="2">
        <v>42736</v>
      </c>
      <c r="E303" s="2">
        <v>42767</v>
      </c>
      <c r="F303" s="17">
        <v>1200000</v>
      </c>
      <c r="G303" s="17">
        <v>34482.76</v>
      </c>
      <c r="H303" s="31">
        <v>1</v>
      </c>
      <c r="I303" s="1" t="s">
        <v>21</v>
      </c>
      <c r="J303" s="1" t="s">
        <v>22</v>
      </c>
      <c r="K303" s="1" t="s">
        <v>220</v>
      </c>
      <c r="L303" s="1" t="s">
        <v>218</v>
      </c>
      <c r="M303" s="1" t="s">
        <v>247</v>
      </c>
      <c r="N303" s="31">
        <v>3</v>
      </c>
      <c r="O303" s="31">
        <v>1</v>
      </c>
      <c r="P303" s="32">
        <v>2017</v>
      </c>
    </row>
    <row r="304" spans="1:16" x14ac:dyDescent="0.25">
      <c r="A304" s="1" t="s">
        <v>222</v>
      </c>
      <c r="B304" s="31">
        <v>58</v>
      </c>
      <c r="C304" s="1" t="s">
        <v>20</v>
      </c>
      <c r="D304" s="2">
        <v>42675</v>
      </c>
      <c r="E304" s="2">
        <v>42675</v>
      </c>
      <c r="F304" s="17">
        <v>2050000</v>
      </c>
      <c r="G304" s="17">
        <v>35344.83</v>
      </c>
      <c r="H304" s="31">
        <v>1</v>
      </c>
      <c r="I304" s="1" t="s">
        <v>21</v>
      </c>
      <c r="J304" s="1" t="s">
        <v>18</v>
      </c>
      <c r="K304" s="1" t="s">
        <v>220</v>
      </c>
      <c r="L304" s="1" t="s">
        <v>218</v>
      </c>
      <c r="M304" s="1" t="s">
        <v>118</v>
      </c>
      <c r="N304" s="31">
        <v>4</v>
      </c>
      <c r="O304" s="31">
        <v>1</v>
      </c>
      <c r="P304" s="32">
        <v>2010</v>
      </c>
    </row>
    <row r="305" spans="1:16" x14ac:dyDescent="0.25">
      <c r="A305" s="1" t="s">
        <v>224</v>
      </c>
      <c r="B305" s="31">
        <v>26.9</v>
      </c>
      <c r="C305" s="1" t="s">
        <v>20</v>
      </c>
      <c r="D305" s="2">
        <v>42614</v>
      </c>
      <c r="E305" s="2">
        <v>42644</v>
      </c>
      <c r="F305" s="17">
        <v>1000000</v>
      </c>
      <c r="G305" s="17">
        <v>37174.720000000001</v>
      </c>
      <c r="H305" s="31">
        <v>1</v>
      </c>
      <c r="I305" s="1" t="s">
        <v>21</v>
      </c>
      <c r="J305" s="1" t="s">
        <v>22</v>
      </c>
      <c r="K305" s="1" t="s">
        <v>220</v>
      </c>
      <c r="L305" s="1" t="s">
        <v>218</v>
      </c>
      <c r="M305" s="1" t="s">
        <v>225</v>
      </c>
      <c r="N305" s="31">
        <v>1</v>
      </c>
      <c r="O305" s="31">
        <v>1</v>
      </c>
      <c r="P305" s="32">
        <v>2006</v>
      </c>
    </row>
    <row r="306" spans="1:16" x14ac:dyDescent="0.25">
      <c r="A306" s="1" t="s">
        <v>259</v>
      </c>
      <c r="B306" s="31">
        <v>37.299999999999997</v>
      </c>
      <c r="C306" s="1" t="s">
        <v>20</v>
      </c>
      <c r="D306" s="2">
        <v>42705</v>
      </c>
      <c r="E306" s="2">
        <v>42705</v>
      </c>
      <c r="F306" s="17">
        <v>1120000</v>
      </c>
      <c r="G306" s="17">
        <v>30026.81</v>
      </c>
      <c r="H306" s="31">
        <v>1</v>
      </c>
      <c r="I306" s="1" t="s">
        <v>21</v>
      </c>
      <c r="J306" s="1" t="s">
        <v>32</v>
      </c>
      <c r="K306" s="1"/>
      <c r="L306" s="1" t="s">
        <v>252</v>
      </c>
      <c r="M306" s="1" t="s">
        <v>279</v>
      </c>
      <c r="N306" s="31">
        <v>6</v>
      </c>
      <c r="O306" s="31">
        <v>1</v>
      </c>
      <c r="P306" s="32">
        <v>2015</v>
      </c>
    </row>
    <row r="307" spans="1:16" x14ac:dyDescent="0.25">
      <c r="A307" s="1" t="s">
        <v>261</v>
      </c>
      <c r="B307" s="31">
        <v>75.5</v>
      </c>
      <c r="C307" s="1" t="s">
        <v>20</v>
      </c>
      <c r="D307" s="2">
        <v>42644</v>
      </c>
      <c r="E307" s="2">
        <v>42644</v>
      </c>
      <c r="F307" s="17">
        <v>2273000</v>
      </c>
      <c r="G307" s="17">
        <v>30105.96</v>
      </c>
      <c r="H307" s="31">
        <v>1</v>
      </c>
      <c r="I307" s="1" t="s">
        <v>21</v>
      </c>
      <c r="J307" s="1" t="s">
        <v>22</v>
      </c>
      <c r="K307" s="1"/>
      <c r="L307" s="1" t="s">
        <v>252</v>
      </c>
      <c r="M307" s="1"/>
      <c r="N307" s="31">
        <v>8</v>
      </c>
      <c r="O307" s="31">
        <v>2</v>
      </c>
      <c r="P307" s="32">
        <v>2016</v>
      </c>
    </row>
    <row r="308" spans="1:16" x14ac:dyDescent="0.25">
      <c r="A308" s="1" t="s">
        <v>261</v>
      </c>
      <c r="B308" s="31">
        <v>75.5</v>
      </c>
      <c r="C308" s="1" t="s">
        <v>20</v>
      </c>
      <c r="D308" s="2">
        <v>42644</v>
      </c>
      <c r="E308" s="2">
        <v>42644</v>
      </c>
      <c r="F308" s="17">
        <v>2273000</v>
      </c>
      <c r="G308" s="17">
        <v>30105.96</v>
      </c>
      <c r="H308" s="31">
        <v>1</v>
      </c>
      <c r="I308" s="1" t="s">
        <v>21</v>
      </c>
      <c r="J308" s="1" t="s">
        <v>22</v>
      </c>
      <c r="K308" s="1"/>
      <c r="L308" s="1" t="s">
        <v>252</v>
      </c>
      <c r="M308" s="1"/>
      <c r="N308" s="31">
        <v>8</v>
      </c>
      <c r="O308" s="31">
        <v>2</v>
      </c>
      <c r="P308" s="32">
        <v>2016</v>
      </c>
    </row>
    <row r="309" spans="1:16" x14ac:dyDescent="0.25">
      <c r="A309" s="1" t="s">
        <v>256</v>
      </c>
      <c r="B309" s="31">
        <v>33.200000000000003</v>
      </c>
      <c r="C309" s="1" t="s">
        <v>20</v>
      </c>
      <c r="D309" s="2">
        <v>42767</v>
      </c>
      <c r="E309" s="2">
        <v>42767</v>
      </c>
      <c r="F309" s="17">
        <v>1000000</v>
      </c>
      <c r="G309" s="17">
        <v>30120.48</v>
      </c>
      <c r="H309" s="31">
        <v>1</v>
      </c>
      <c r="I309" s="1" t="s">
        <v>21</v>
      </c>
      <c r="J309" s="1" t="s">
        <v>32</v>
      </c>
      <c r="K309" s="1"/>
      <c r="L309" s="1" t="s">
        <v>252</v>
      </c>
      <c r="M309" s="1" t="s">
        <v>254</v>
      </c>
      <c r="N309" s="31">
        <v>7</v>
      </c>
      <c r="O309" s="31">
        <v>1</v>
      </c>
      <c r="P309" s="32">
        <v>2002</v>
      </c>
    </row>
    <row r="310" spans="1:16" x14ac:dyDescent="0.25">
      <c r="A310" s="1" t="s">
        <v>253</v>
      </c>
      <c r="B310" s="31">
        <v>43.1</v>
      </c>
      <c r="C310" s="1" t="s">
        <v>20</v>
      </c>
      <c r="D310" s="2">
        <v>42644</v>
      </c>
      <c r="E310" s="2">
        <v>42644</v>
      </c>
      <c r="F310" s="17">
        <v>1299650</v>
      </c>
      <c r="G310" s="17">
        <v>30154.29</v>
      </c>
      <c r="H310" s="31">
        <v>1</v>
      </c>
      <c r="I310" s="1" t="s">
        <v>21</v>
      </c>
      <c r="J310" s="1" t="s">
        <v>32</v>
      </c>
      <c r="K310" s="1"/>
      <c r="L310" s="1" t="s">
        <v>252</v>
      </c>
      <c r="M310" s="1" t="s">
        <v>258</v>
      </c>
      <c r="N310" s="31">
        <v>3</v>
      </c>
      <c r="O310" s="31">
        <v>2</v>
      </c>
      <c r="P310" s="32">
        <v>2007</v>
      </c>
    </row>
    <row r="311" spans="1:16" x14ac:dyDescent="0.25">
      <c r="A311" s="1" t="s">
        <v>253</v>
      </c>
      <c r="B311" s="31">
        <v>43.1</v>
      </c>
      <c r="C311" s="1" t="s">
        <v>20</v>
      </c>
      <c r="D311" s="2">
        <v>42644</v>
      </c>
      <c r="E311" s="2">
        <v>42644</v>
      </c>
      <c r="F311" s="17">
        <v>1299650</v>
      </c>
      <c r="G311" s="17">
        <v>30154.29</v>
      </c>
      <c r="H311" s="31">
        <v>1</v>
      </c>
      <c r="I311" s="1" t="s">
        <v>21</v>
      </c>
      <c r="J311" s="1" t="s">
        <v>32</v>
      </c>
      <c r="K311" s="1"/>
      <c r="L311" s="1" t="s">
        <v>252</v>
      </c>
      <c r="M311" s="1" t="s">
        <v>258</v>
      </c>
      <c r="N311" s="31">
        <v>3</v>
      </c>
      <c r="O311" s="31">
        <v>2</v>
      </c>
      <c r="P311" s="32">
        <v>2007</v>
      </c>
    </row>
    <row r="312" spans="1:16" x14ac:dyDescent="0.25">
      <c r="A312" s="1" t="s">
        <v>253</v>
      </c>
      <c r="B312" s="31">
        <v>61</v>
      </c>
      <c r="C312" s="1" t="s">
        <v>20</v>
      </c>
      <c r="D312" s="2">
        <v>42675</v>
      </c>
      <c r="E312" s="2">
        <v>42675</v>
      </c>
      <c r="F312" s="17">
        <v>1840000</v>
      </c>
      <c r="G312" s="17">
        <v>30163.93</v>
      </c>
      <c r="H312" s="31">
        <v>1</v>
      </c>
      <c r="I312" s="1" t="s">
        <v>21</v>
      </c>
      <c r="J312" s="1" t="s">
        <v>22</v>
      </c>
      <c r="K312" s="1"/>
      <c r="L312" s="1" t="s">
        <v>252</v>
      </c>
      <c r="M312" s="1"/>
      <c r="N312" s="31">
        <v>4</v>
      </c>
      <c r="O312" s="31">
        <v>1</v>
      </c>
      <c r="P312" s="32">
        <v>2016</v>
      </c>
    </row>
    <row r="313" spans="1:16" x14ac:dyDescent="0.25">
      <c r="A313" s="1" t="s">
        <v>271</v>
      </c>
      <c r="B313" s="31">
        <v>29.8</v>
      </c>
      <c r="C313" s="1" t="s">
        <v>20</v>
      </c>
      <c r="D313" s="2">
        <v>42736</v>
      </c>
      <c r="E313" s="2">
        <v>42736</v>
      </c>
      <c r="F313" s="17">
        <v>900000</v>
      </c>
      <c r="G313" s="17">
        <v>30201.34</v>
      </c>
      <c r="H313" s="31">
        <v>1</v>
      </c>
      <c r="I313" s="1" t="s">
        <v>21</v>
      </c>
      <c r="J313" s="1" t="s">
        <v>32</v>
      </c>
      <c r="K313" s="1"/>
      <c r="L313" s="1" t="s">
        <v>252</v>
      </c>
      <c r="M313" s="1"/>
      <c r="N313" s="31">
        <v>2</v>
      </c>
      <c r="O313" s="31">
        <v>1</v>
      </c>
      <c r="P313" s="32">
        <v>2003</v>
      </c>
    </row>
    <row r="314" spans="1:16" x14ac:dyDescent="0.25">
      <c r="A314" s="1" t="s">
        <v>253</v>
      </c>
      <c r="B314" s="31">
        <v>49.6</v>
      </c>
      <c r="C314" s="1" t="s">
        <v>20</v>
      </c>
      <c r="D314" s="2">
        <v>42705</v>
      </c>
      <c r="E314" s="2">
        <v>42705</v>
      </c>
      <c r="F314" s="17">
        <v>1500000</v>
      </c>
      <c r="G314" s="17">
        <v>30241.94</v>
      </c>
      <c r="H314" s="31">
        <v>1</v>
      </c>
      <c r="I314" s="1" t="s">
        <v>21</v>
      </c>
      <c r="J314" s="1" t="s">
        <v>32</v>
      </c>
      <c r="K314" s="1"/>
      <c r="L314" s="1" t="s">
        <v>252</v>
      </c>
      <c r="M314" s="1" t="s">
        <v>278</v>
      </c>
      <c r="N314" s="31">
        <v>4</v>
      </c>
      <c r="O314" s="31">
        <v>1</v>
      </c>
      <c r="P314" s="32">
        <v>2014</v>
      </c>
    </row>
    <row r="315" spans="1:16" x14ac:dyDescent="0.25">
      <c r="A315" s="1" t="s">
        <v>261</v>
      </c>
      <c r="B315" s="31">
        <v>56.8</v>
      </c>
      <c r="C315" s="1" t="s">
        <v>20</v>
      </c>
      <c r="D315" s="2">
        <v>42705</v>
      </c>
      <c r="E315" s="2">
        <v>42705</v>
      </c>
      <c r="F315" s="17">
        <v>1724800</v>
      </c>
      <c r="G315" s="17">
        <v>30366.2</v>
      </c>
      <c r="H315" s="31">
        <v>1</v>
      </c>
      <c r="I315" s="1" t="s">
        <v>21</v>
      </c>
      <c r="J315" s="1" t="s">
        <v>22</v>
      </c>
      <c r="K315" s="1"/>
      <c r="L315" s="1" t="s">
        <v>252</v>
      </c>
      <c r="M315" s="1"/>
      <c r="N315" s="31">
        <v>9</v>
      </c>
      <c r="O315" s="31">
        <v>2</v>
      </c>
      <c r="P315" s="32">
        <v>2016</v>
      </c>
    </row>
    <row r="316" spans="1:16" x14ac:dyDescent="0.25">
      <c r="A316" s="1" t="s">
        <v>261</v>
      </c>
      <c r="B316" s="31">
        <v>56.8</v>
      </c>
      <c r="C316" s="1" t="s">
        <v>20</v>
      </c>
      <c r="D316" s="2">
        <v>42705</v>
      </c>
      <c r="E316" s="2">
        <v>42705</v>
      </c>
      <c r="F316" s="17">
        <v>1724800</v>
      </c>
      <c r="G316" s="17">
        <v>30366.2</v>
      </c>
      <c r="H316" s="31">
        <v>1</v>
      </c>
      <c r="I316" s="1" t="s">
        <v>21</v>
      </c>
      <c r="J316" s="1" t="s">
        <v>22</v>
      </c>
      <c r="K316" s="1"/>
      <c r="L316" s="1" t="s">
        <v>252</v>
      </c>
      <c r="M316" s="1"/>
      <c r="N316" s="31">
        <v>9</v>
      </c>
      <c r="O316" s="31">
        <v>2</v>
      </c>
      <c r="P316" s="32">
        <v>2016</v>
      </c>
    </row>
    <row r="317" spans="1:16" x14ac:dyDescent="0.25">
      <c r="A317" s="1" t="s">
        <v>264</v>
      </c>
      <c r="B317" s="31">
        <v>41.8</v>
      </c>
      <c r="C317" s="1" t="s">
        <v>20</v>
      </c>
      <c r="D317" s="2">
        <v>42736</v>
      </c>
      <c r="E317" s="2">
        <v>42767</v>
      </c>
      <c r="F317" s="17">
        <v>1271200</v>
      </c>
      <c r="G317" s="17">
        <v>30411.48</v>
      </c>
      <c r="H317" s="31">
        <v>1</v>
      </c>
      <c r="I317" s="1" t="s">
        <v>21</v>
      </c>
      <c r="J317" s="1" t="s">
        <v>32</v>
      </c>
      <c r="K317" s="1"/>
      <c r="L317" s="1" t="s">
        <v>252</v>
      </c>
      <c r="M317" s="1"/>
      <c r="N317" s="31">
        <v>5</v>
      </c>
      <c r="O317" s="31">
        <v>2</v>
      </c>
      <c r="P317" s="32">
        <v>2009</v>
      </c>
    </row>
    <row r="318" spans="1:16" x14ac:dyDescent="0.25">
      <c r="A318" s="1" t="s">
        <v>264</v>
      </c>
      <c r="B318" s="31">
        <v>41.8</v>
      </c>
      <c r="C318" s="1" t="s">
        <v>20</v>
      </c>
      <c r="D318" s="2">
        <v>42736</v>
      </c>
      <c r="E318" s="2">
        <v>42767</v>
      </c>
      <c r="F318" s="17">
        <v>1271200</v>
      </c>
      <c r="G318" s="17">
        <v>30411.48</v>
      </c>
      <c r="H318" s="31">
        <v>1</v>
      </c>
      <c r="I318" s="1" t="s">
        <v>21</v>
      </c>
      <c r="J318" s="1" t="s">
        <v>32</v>
      </c>
      <c r="K318" s="1"/>
      <c r="L318" s="1" t="s">
        <v>252</v>
      </c>
      <c r="M318" s="1"/>
      <c r="N318" s="31">
        <v>5</v>
      </c>
      <c r="O318" s="31">
        <v>2</v>
      </c>
      <c r="P318" s="32">
        <v>2009</v>
      </c>
    </row>
    <row r="319" spans="1:16" x14ac:dyDescent="0.25">
      <c r="A319" s="1" t="s">
        <v>271</v>
      </c>
      <c r="B319" s="31">
        <v>45.9</v>
      </c>
      <c r="C319" s="1" t="s">
        <v>20</v>
      </c>
      <c r="D319" s="2">
        <v>42675</v>
      </c>
      <c r="E319" s="2">
        <v>42675</v>
      </c>
      <c r="F319" s="17">
        <v>1400000</v>
      </c>
      <c r="G319" s="17">
        <v>30501.09</v>
      </c>
      <c r="H319" s="31">
        <v>1</v>
      </c>
      <c r="I319" s="1" t="s">
        <v>21</v>
      </c>
      <c r="J319" s="1" t="s">
        <v>32</v>
      </c>
      <c r="K319" s="1"/>
      <c r="L319" s="1" t="s">
        <v>252</v>
      </c>
      <c r="M319" s="1" t="s">
        <v>258</v>
      </c>
      <c r="N319" s="31">
        <v>3</v>
      </c>
      <c r="O319" s="31">
        <v>2</v>
      </c>
      <c r="P319" s="32">
        <v>2016</v>
      </c>
    </row>
    <row r="320" spans="1:16" x14ac:dyDescent="0.25">
      <c r="A320" s="1" t="s">
        <v>271</v>
      </c>
      <c r="B320" s="31">
        <v>45.9</v>
      </c>
      <c r="C320" s="1" t="s">
        <v>20</v>
      </c>
      <c r="D320" s="2">
        <v>42675</v>
      </c>
      <c r="E320" s="2">
        <v>42675</v>
      </c>
      <c r="F320" s="17">
        <v>1400000</v>
      </c>
      <c r="G320" s="17">
        <v>30501.09</v>
      </c>
      <c r="H320" s="31">
        <v>1</v>
      </c>
      <c r="I320" s="1" t="s">
        <v>21</v>
      </c>
      <c r="J320" s="1" t="s">
        <v>32</v>
      </c>
      <c r="K320" s="1"/>
      <c r="L320" s="1" t="s">
        <v>252</v>
      </c>
      <c r="M320" s="1" t="s">
        <v>258</v>
      </c>
      <c r="N320" s="31">
        <v>3</v>
      </c>
      <c r="O320" s="31">
        <v>2</v>
      </c>
      <c r="P320" s="32">
        <v>2016</v>
      </c>
    </row>
    <row r="321" spans="1:16" x14ac:dyDescent="0.25">
      <c r="A321" s="1" t="s">
        <v>268</v>
      </c>
      <c r="B321" s="31">
        <v>42.6</v>
      </c>
      <c r="C321" s="1" t="s">
        <v>20</v>
      </c>
      <c r="D321" s="2">
        <v>42736</v>
      </c>
      <c r="E321" s="2">
        <v>42767</v>
      </c>
      <c r="F321" s="17">
        <v>1300000</v>
      </c>
      <c r="G321" s="17">
        <v>30516.43</v>
      </c>
      <c r="H321" s="31">
        <v>1</v>
      </c>
      <c r="I321" s="1" t="s">
        <v>21</v>
      </c>
      <c r="J321" s="1" t="s">
        <v>32</v>
      </c>
      <c r="K321" s="1"/>
      <c r="L321" s="1" t="s">
        <v>252</v>
      </c>
      <c r="M321" s="1" t="s">
        <v>258</v>
      </c>
      <c r="N321" s="31">
        <v>3</v>
      </c>
      <c r="O321" s="31">
        <v>1</v>
      </c>
      <c r="P321" s="32">
        <v>2001</v>
      </c>
    </row>
    <row r="322" spans="1:16" x14ac:dyDescent="0.25">
      <c r="A322" s="1" t="s">
        <v>253</v>
      </c>
      <c r="B322" s="31">
        <v>61.3</v>
      </c>
      <c r="C322" s="1" t="s">
        <v>20</v>
      </c>
      <c r="D322" s="2">
        <v>42675</v>
      </c>
      <c r="E322" s="2">
        <v>42675</v>
      </c>
      <c r="F322" s="17">
        <v>1872000</v>
      </c>
      <c r="G322" s="17">
        <v>30538.34</v>
      </c>
      <c r="H322" s="31">
        <v>1</v>
      </c>
      <c r="I322" s="1" t="s">
        <v>21</v>
      </c>
      <c r="J322" s="1" t="s">
        <v>32</v>
      </c>
      <c r="K322" s="1"/>
      <c r="L322" s="1" t="s">
        <v>252</v>
      </c>
      <c r="M322" s="1" t="s">
        <v>254</v>
      </c>
      <c r="N322" s="31">
        <v>2</v>
      </c>
      <c r="O322" s="31">
        <v>2</v>
      </c>
      <c r="P322" s="32">
        <v>2003</v>
      </c>
    </row>
    <row r="323" spans="1:16" x14ac:dyDescent="0.25">
      <c r="A323" s="1" t="s">
        <v>253</v>
      </c>
      <c r="B323" s="31">
        <v>61.3</v>
      </c>
      <c r="C323" s="1" t="s">
        <v>20</v>
      </c>
      <c r="D323" s="2">
        <v>42675</v>
      </c>
      <c r="E323" s="2">
        <v>42675</v>
      </c>
      <c r="F323" s="17">
        <v>1872000</v>
      </c>
      <c r="G323" s="17">
        <v>30538.34</v>
      </c>
      <c r="H323" s="31">
        <v>1</v>
      </c>
      <c r="I323" s="1" t="s">
        <v>21</v>
      </c>
      <c r="J323" s="1" t="s">
        <v>32</v>
      </c>
      <c r="K323" s="1"/>
      <c r="L323" s="1" t="s">
        <v>252</v>
      </c>
      <c r="M323" s="1" t="s">
        <v>254</v>
      </c>
      <c r="N323" s="31">
        <v>2</v>
      </c>
      <c r="O323" s="31">
        <v>2</v>
      </c>
      <c r="P323" s="32">
        <v>2003</v>
      </c>
    </row>
    <row r="324" spans="1:16" x14ac:dyDescent="0.25">
      <c r="A324" s="1" t="s">
        <v>264</v>
      </c>
      <c r="B324" s="31">
        <v>31.4</v>
      </c>
      <c r="C324" s="1" t="s">
        <v>20</v>
      </c>
      <c r="D324" s="2">
        <v>42705</v>
      </c>
      <c r="E324" s="2">
        <v>42705</v>
      </c>
      <c r="F324" s="17">
        <v>960000</v>
      </c>
      <c r="G324" s="17">
        <v>30573.25</v>
      </c>
      <c r="H324" s="31">
        <v>1</v>
      </c>
      <c r="I324" s="1" t="s">
        <v>21</v>
      </c>
      <c r="J324" s="1" t="s">
        <v>32</v>
      </c>
      <c r="K324" s="1"/>
      <c r="L324" s="1" t="s">
        <v>252</v>
      </c>
      <c r="M324" s="1" t="s">
        <v>258</v>
      </c>
      <c r="N324" s="31">
        <v>3</v>
      </c>
      <c r="O324" s="31">
        <v>1</v>
      </c>
      <c r="P324" s="32">
        <v>2007</v>
      </c>
    </row>
    <row r="325" spans="1:16" x14ac:dyDescent="0.25">
      <c r="A325" s="1" t="s">
        <v>264</v>
      </c>
      <c r="B325" s="31">
        <v>30.3</v>
      </c>
      <c r="C325" s="1" t="s">
        <v>20</v>
      </c>
      <c r="D325" s="2">
        <v>42614</v>
      </c>
      <c r="E325" s="2">
        <v>42644</v>
      </c>
      <c r="F325" s="17">
        <v>928000</v>
      </c>
      <c r="G325" s="17">
        <v>30627.06</v>
      </c>
      <c r="H325" s="31">
        <v>1</v>
      </c>
      <c r="I325" s="1" t="s">
        <v>21</v>
      </c>
      <c r="J325" s="1" t="s">
        <v>32</v>
      </c>
      <c r="K325" s="1"/>
      <c r="L325" s="1" t="s">
        <v>252</v>
      </c>
      <c r="M325" s="1" t="s">
        <v>258</v>
      </c>
      <c r="N325" s="31">
        <v>3</v>
      </c>
      <c r="O325" s="31">
        <v>1</v>
      </c>
      <c r="P325" s="32">
        <v>2013</v>
      </c>
    </row>
    <row r="326" spans="1:16" x14ac:dyDescent="0.25">
      <c r="A326" s="1" t="s">
        <v>259</v>
      </c>
      <c r="B326" s="31">
        <v>32.6</v>
      </c>
      <c r="C326" s="1" t="s">
        <v>20</v>
      </c>
      <c r="D326" s="2">
        <v>42644</v>
      </c>
      <c r="E326" s="2">
        <v>42675</v>
      </c>
      <c r="F326" s="17">
        <v>1000000</v>
      </c>
      <c r="G326" s="17">
        <v>30674.85</v>
      </c>
      <c r="H326" s="31">
        <v>1</v>
      </c>
      <c r="I326" s="1" t="s">
        <v>21</v>
      </c>
      <c r="J326" s="1" t="s">
        <v>22</v>
      </c>
      <c r="K326" s="1"/>
      <c r="L326" s="1" t="s">
        <v>252</v>
      </c>
      <c r="M326" s="1" t="s">
        <v>174</v>
      </c>
      <c r="N326" s="31">
        <v>2</v>
      </c>
      <c r="O326" s="31">
        <v>1</v>
      </c>
      <c r="P326" s="32">
        <v>2016</v>
      </c>
    </row>
    <row r="327" spans="1:16" x14ac:dyDescent="0.25">
      <c r="A327" s="1" t="s">
        <v>267</v>
      </c>
      <c r="B327" s="31">
        <v>58.2</v>
      </c>
      <c r="C327" s="1" t="s">
        <v>20</v>
      </c>
      <c r="D327" s="2">
        <v>42705</v>
      </c>
      <c r="E327" s="2">
        <v>42705</v>
      </c>
      <c r="F327" s="17">
        <v>1792800</v>
      </c>
      <c r="G327" s="17">
        <v>30804.12</v>
      </c>
      <c r="H327" s="31">
        <v>1</v>
      </c>
      <c r="I327" s="1" t="s">
        <v>21</v>
      </c>
      <c r="J327" s="1" t="s">
        <v>32</v>
      </c>
      <c r="K327" s="1"/>
      <c r="L327" s="1" t="s">
        <v>252</v>
      </c>
      <c r="M327" s="1"/>
      <c r="N327" s="31">
        <v>9</v>
      </c>
      <c r="O327" s="31">
        <v>1</v>
      </c>
      <c r="P327" s="32">
        <v>2016</v>
      </c>
    </row>
    <row r="328" spans="1:16" x14ac:dyDescent="0.25">
      <c r="A328" s="1" t="s">
        <v>270</v>
      </c>
      <c r="B328" s="31">
        <v>63.3</v>
      </c>
      <c r="C328" s="1" t="s">
        <v>20</v>
      </c>
      <c r="D328" s="2">
        <v>42705</v>
      </c>
      <c r="E328" s="2">
        <v>42705</v>
      </c>
      <c r="F328" s="17">
        <v>1950000</v>
      </c>
      <c r="G328" s="17">
        <v>30805.69</v>
      </c>
      <c r="H328" s="31">
        <v>1</v>
      </c>
      <c r="I328" s="1" t="s">
        <v>21</v>
      </c>
      <c r="J328" s="1" t="s">
        <v>32</v>
      </c>
      <c r="K328" s="1"/>
      <c r="L328" s="1" t="s">
        <v>252</v>
      </c>
      <c r="M328" s="1"/>
      <c r="N328" s="31">
        <v>9</v>
      </c>
      <c r="O328" s="31">
        <v>2</v>
      </c>
      <c r="P328" s="32">
        <v>2001</v>
      </c>
    </row>
    <row r="329" spans="1:16" x14ac:dyDescent="0.25">
      <c r="A329" s="1" t="s">
        <v>270</v>
      </c>
      <c r="B329" s="31">
        <v>49.3</v>
      </c>
      <c r="C329" s="1" t="s">
        <v>20</v>
      </c>
      <c r="D329" s="2">
        <v>42705</v>
      </c>
      <c r="E329" s="2">
        <v>42705</v>
      </c>
      <c r="F329" s="17">
        <v>1520000</v>
      </c>
      <c r="G329" s="17">
        <v>30831.64</v>
      </c>
      <c r="H329" s="31">
        <v>1</v>
      </c>
      <c r="I329" s="1" t="s">
        <v>21</v>
      </c>
      <c r="J329" s="1" t="s">
        <v>32</v>
      </c>
      <c r="K329" s="1"/>
      <c r="L329" s="1" t="s">
        <v>252</v>
      </c>
      <c r="M329" s="1" t="s">
        <v>265</v>
      </c>
      <c r="N329" s="31">
        <v>3</v>
      </c>
      <c r="O329" s="31">
        <v>1</v>
      </c>
      <c r="P329" s="32">
        <v>2001</v>
      </c>
    </row>
    <row r="330" spans="1:16" x14ac:dyDescent="0.25">
      <c r="A330" s="1" t="s">
        <v>255</v>
      </c>
      <c r="B330" s="31">
        <v>53.1</v>
      </c>
      <c r="C330" s="1" t="s">
        <v>20</v>
      </c>
      <c r="D330" s="2">
        <v>42675</v>
      </c>
      <c r="E330" s="2">
        <v>42675</v>
      </c>
      <c r="F330" s="17">
        <v>1640000</v>
      </c>
      <c r="G330" s="17">
        <v>30885.119999999999</v>
      </c>
      <c r="H330" s="31">
        <v>1</v>
      </c>
      <c r="I330" s="1" t="s">
        <v>21</v>
      </c>
      <c r="J330" s="1" t="s">
        <v>32</v>
      </c>
      <c r="K330" s="1"/>
      <c r="L330" s="1" t="s">
        <v>252</v>
      </c>
      <c r="M330" s="1"/>
      <c r="N330" s="31">
        <v>1</v>
      </c>
      <c r="O330" s="31">
        <v>2</v>
      </c>
      <c r="P330" s="32">
        <v>2007</v>
      </c>
    </row>
    <row r="331" spans="1:16" x14ac:dyDescent="0.25">
      <c r="A331" s="1" t="s">
        <v>255</v>
      </c>
      <c r="B331" s="31">
        <v>53.1</v>
      </c>
      <c r="C331" s="1" t="s">
        <v>20</v>
      </c>
      <c r="D331" s="2">
        <v>42675</v>
      </c>
      <c r="E331" s="2">
        <v>42675</v>
      </c>
      <c r="F331" s="17">
        <v>1640000</v>
      </c>
      <c r="G331" s="17">
        <v>30885.119999999999</v>
      </c>
      <c r="H331" s="31">
        <v>1</v>
      </c>
      <c r="I331" s="1" t="s">
        <v>21</v>
      </c>
      <c r="J331" s="1" t="s">
        <v>32</v>
      </c>
      <c r="K331" s="1"/>
      <c r="L331" s="1" t="s">
        <v>252</v>
      </c>
      <c r="M331" s="1"/>
      <c r="N331" s="31">
        <v>1</v>
      </c>
      <c r="O331" s="31">
        <v>2</v>
      </c>
      <c r="P331" s="32">
        <v>2007</v>
      </c>
    </row>
    <row r="332" spans="1:16" x14ac:dyDescent="0.25">
      <c r="A332" s="1" t="s">
        <v>268</v>
      </c>
      <c r="B332" s="31">
        <v>30.3</v>
      </c>
      <c r="C332" s="1" t="s">
        <v>20</v>
      </c>
      <c r="D332" s="2">
        <v>42644</v>
      </c>
      <c r="E332" s="2">
        <v>42644</v>
      </c>
      <c r="F332" s="17">
        <v>936000</v>
      </c>
      <c r="G332" s="17">
        <v>30891.09</v>
      </c>
      <c r="H332" s="31">
        <v>1</v>
      </c>
      <c r="I332" s="1" t="s">
        <v>21</v>
      </c>
      <c r="J332" s="1" t="s">
        <v>32</v>
      </c>
      <c r="K332" s="1"/>
      <c r="L332" s="1" t="s">
        <v>252</v>
      </c>
      <c r="M332" s="1" t="s">
        <v>130</v>
      </c>
      <c r="N332" s="31">
        <v>3</v>
      </c>
      <c r="O332" s="31">
        <v>1</v>
      </c>
      <c r="P332" s="32">
        <v>2003</v>
      </c>
    </row>
    <row r="333" spans="1:16" x14ac:dyDescent="0.25">
      <c r="A333" s="1" t="s">
        <v>261</v>
      </c>
      <c r="B333" s="31">
        <v>37.700000000000003</v>
      </c>
      <c r="C333" s="1" t="s">
        <v>20</v>
      </c>
      <c r="D333" s="2">
        <v>42705</v>
      </c>
      <c r="E333" s="2">
        <v>42705</v>
      </c>
      <c r="F333" s="17">
        <v>1168000</v>
      </c>
      <c r="G333" s="17">
        <v>30981.43</v>
      </c>
      <c r="H333" s="31">
        <v>1</v>
      </c>
      <c r="I333" s="1" t="s">
        <v>21</v>
      </c>
      <c r="J333" s="1" t="s">
        <v>22</v>
      </c>
      <c r="K333" s="1"/>
      <c r="L333" s="1" t="s">
        <v>252</v>
      </c>
      <c r="M333" s="1"/>
      <c r="N333" s="31">
        <v>9</v>
      </c>
      <c r="O333" s="31">
        <v>1</v>
      </c>
      <c r="P333" s="32">
        <v>2016</v>
      </c>
    </row>
    <row r="334" spans="1:16" x14ac:dyDescent="0.25">
      <c r="A334" s="1" t="s">
        <v>262</v>
      </c>
      <c r="B334" s="31">
        <v>45.1</v>
      </c>
      <c r="C334" s="1" t="s">
        <v>20</v>
      </c>
      <c r="D334" s="2">
        <v>42705</v>
      </c>
      <c r="E334" s="2">
        <v>42736</v>
      </c>
      <c r="F334" s="17">
        <v>1398100</v>
      </c>
      <c r="G334" s="17">
        <v>31000</v>
      </c>
      <c r="H334" s="31">
        <v>1</v>
      </c>
      <c r="I334" s="1" t="s">
        <v>21</v>
      </c>
      <c r="J334" s="1" t="s">
        <v>22</v>
      </c>
      <c r="K334" s="1"/>
      <c r="L334" s="1" t="s">
        <v>252</v>
      </c>
      <c r="M334" s="1"/>
      <c r="N334" s="31">
        <v>4</v>
      </c>
      <c r="O334" s="31">
        <v>2</v>
      </c>
      <c r="P334" s="32">
        <v>2016</v>
      </c>
    </row>
    <row r="335" spans="1:16" x14ac:dyDescent="0.25">
      <c r="A335" s="1" t="s">
        <v>262</v>
      </c>
      <c r="B335" s="31">
        <v>52.6</v>
      </c>
      <c r="C335" s="1" t="s">
        <v>20</v>
      </c>
      <c r="D335" s="2">
        <v>42705</v>
      </c>
      <c r="E335" s="2">
        <v>42736</v>
      </c>
      <c r="F335" s="17">
        <v>1630600</v>
      </c>
      <c r="G335" s="17">
        <v>31000</v>
      </c>
      <c r="H335" s="31">
        <v>1</v>
      </c>
      <c r="I335" s="1" t="s">
        <v>21</v>
      </c>
      <c r="J335" s="1" t="s">
        <v>22</v>
      </c>
      <c r="K335" s="1"/>
      <c r="L335" s="1" t="s">
        <v>252</v>
      </c>
      <c r="M335" s="1"/>
      <c r="N335" s="31">
        <v>3</v>
      </c>
      <c r="O335" s="31">
        <v>2</v>
      </c>
      <c r="P335" s="32">
        <v>2016</v>
      </c>
    </row>
    <row r="336" spans="1:16" x14ac:dyDescent="0.25">
      <c r="A336" s="1" t="s">
        <v>262</v>
      </c>
      <c r="B336" s="31">
        <v>45.1</v>
      </c>
      <c r="C336" s="1" t="s">
        <v>20</v>
      </c>
      <c r="D336" s="2">
        <v>42705</v>
      </c>
      <c r="E336" s="2">
        <v>42736</v>
      </c>
      <c r="F336" s="17">
        <v>1398100</v>
      </c>
      <c r="G336" s="17">
        <v>31000</v>
      </c>
      <c r="H336" s="31">
        <v>1</v>
      </c>
      <c r="I336" s="1" t="s">
        <v>21</v>
      </c>
      <c r="J336" s="1" t="s">
        <v>22</v>
      </c>
      <c r="K336" s="1"/>
      <c r="L336" s="1" t="s">
        <v>252</v>
      </c>
      <c r="M336" s="1"/>
      <c r="N336" s="31">
        <v>4</v>
      </c>
      <c r="O336" s="31">
        <v>2</v>
      </c>
      <c r="P336" s="32">
        <v>2016</v>
      </c>
    </row>
    <row r="337" spans="1:16" x14ac:dyDescent="0.25">
      <c r="A337" s="1" t="s">
        <v>262</v>
      </c>
      <c r="B337" s="31">
        <v>52.6</v>
      </c>
      <c r="C337" s="1" t="s">
        <v>20</v>
      </c>
      <c r="D337" s="2">
        <v>42705</v>
      </c>
      <c r="E337" s="2">
        <v>42736</v>
      </c>
      <c r="F337" s="17">
        <v>1630600</v>
      </c>
      <c r="G337" s="17">
        <v>31000</v>
      </c>
      <c r="H337" s="31">
        <v>1</v>
      </c>
      <c r="I337" s="1" t="s">
        <v>21</v>
      </c>
      <c r="J337" s="1" t="s">
        <v>22</v>
      </c>
      <c r="K337" s="1"/>
      <c r="L337" s="1" t="s">
        <v>252</v>
      </c>
      <c r="M337" s="1"/>
      <c r="N337" s="31">
        <v>3</v>
      </c>
      <c r="O337" s="31">
        <v>2</v>
      </c>
      <c r="P337" s="32">
        <v>2016</v>
      </c>
    </row>
    <row r="338" spans="1:16" x14ac:dyDescent="0.25">
      <c r="A338" s="1" t="s">
        <v>270</v>
      </c>
      <c r="B338" s="31">
        <v>38.6</v>
      </c>
      <c r="C338" s="1" t="s">
        <v>20</v>
      </c>
      <c r="D338" s="2">
        <v>42705</v>
      </c>
      <c r="E338" s="2">
        <v>42705</v>
      </c>
      <c r="F338" s="17">
        <v>1200000</v>
      </c>
      <c r="G338" s="17">
        <v>31088.080000000002</v>
      </c>
      <c r="H338" s="31">
        <v>1</v>
      </c>
      <c r="I338" s="1" t="s">
        <v>21</v>
      </c>
      <c r="J338" s="1" t="s">
        <v>32</v>
      </c>
      <c r="K338" s="1"/>
      <c r="L338" s="1" t="s">
        <v>252</v>
      </c>
      <c r="M338" s="1" t="s">
        <v>130</v>
      </c>
      <c r="N338" s="31">
        <v>9</v>
      </c>
      <c r="O338" s="31">
        <v>1</v>
      </c>
      <c r="P338" s="32">
        <v>2007</v>
      </c>
    </row>
    <row r="339" spans="1:16" x14ac:dyDescent="0.25">
      <c r="A339" s="1" t="s">
        <v>275</v>
      </c>
      <c r="B339" s="31">
        <v>61</v>
      </c>
      <c r="C339" s="1" t="s">
        <v>20</v>
      </c>
      <c r="D339" s="2">
        <v>42675</v>
      </c>
      <c r="E339" s="2">
        <v>42675</v>
      </c>
      <c r="F339" s="17">
        <v>1900000</v>
      </c>
      <c r="G339" s="17">
        <v>31147.54</v>
      </c>
      <c r="H339" s="31">
        <v>1</v>
      </c>
      <c r="I339" s="1" t="s">
        <v>21</v>
      </c>
      <c r="J339" s="1" t="s">
        <v>32</v>
      </c>
      <c r="K339" s="1"/>
      <c r="L339" s="1" t="s">
        <v>252</v>
      </c>
      <c r="M339" s="1" t="s">
        <v>265</v>
      </c>
      <c r="N339" s="31">
        <v>5</v>
      </c>
      <c r="O339" s="31">
        <v>1</v>
      </c>
      <c r="P339" s="32">
        <v>2012</v>
      </c>
    </row>
    <row r="340" spans="1:16" x14ac:dyDescent="0.25">
      <c r="A340" s="1" t="s">
        <v>263</v>
      </c>
      <c r="B340" s="31">
        <v>35.200000000000003</v>
      </c>
      <c r="C340" s="1" t="s">
        <v>20</v>
      </c>
      <c r="D340" s="2">
        <v>42614</v>
      </c>
      <c r="E340" s="2">
        <v>42644</v>
      </c>
      <c r="F340" s="17">
        <v>1100000</v>
      </c>
      <c r="G340" s="17">
        <v>31250</v>
      </c>
      <c r="H340" s="31">
        <v>1</v>
      </c>
      <c r="I340" s="1" t="s">
        <v>21</v>
      </c>
      <c r="J340" s="1" t="s">
        <v>32</v>
      </c>
      <c r="K340" s="1"/>
      <c r="L340" s="1" t="s">
        <v>252</v>
      </c>
      <c r="M340" s="1" t="s">
        <v>130</v>
      </c>
      <c r="N340" s="31">
        <v>9</v>
      </c>
      <c r="O340" s="31">
        <v>2</v>
      </c>
      <c r="P340" s="32">
        <v>2006</v>
      </c>
    </row>
    <row r="341" spans="1:16" x14ac:dyDescent="0.25">
      <c r="A341" s="1" t="s">
        <v>263</v>
      </c>
      <c r="B341" s="31">
        <v>35.200000000000003</v>
      </c>
      <c r="C341" s="1" t="s">
        <v>20</v>
      </c>
      <c r="D341" s="2">
        <v>42614</v>
      </c>
      <c r="E341" s="2">
        <v>42644</v>
      </c>
      <c r="F341" s="17">
        <v>1100000</v>
      </c>
      <c r="G341" s="17">
        <v>31250</v>
      </c>
      <c r="H341" s="31">
        <v>1</v>
      </c>
      <c r="I341" s="1" t="s">
        <v>21</v>
      </c>
      <c r="J341" s="1" t="s">
        <v>32</v>
      </c>
      <c r="K341" s="1"/>
      <c r="L341" s="1" t="s">
        <v>252</v>
      </c>
      <c r="M341" s="1" t="s">
        <v>130</v>
      </c>
      <c r="N341" s="31">
        <v>9</v>
      </c>
      <c r="O341" s="31">
        <v>2</v>
      </c>
      <c r="P341" s="32">
        <v>2006</v>
      </c>
    </row>
    <row r="342" spans="1:16" x14ac:dyDescent="0.25">
      <c r="A342" s="1" t="s">
        <v>267</v>
      </c>
      <c r="B342" s="31">
        <v>38.4</v>
      </c>
      <c r="C342" s="1" t="s">
        <v>20</v>
      </c>
      <c r="D342" s="2">
        <v>42644</v>
      </c>
      <c r="E342" s="2">
        <v>42675</v>
      </c>
      <c r="F342" s="17">
        <v>1200000</v>
      </c>
      <c r="G342" s="17">
        <v>31250</v>
      </c>
      <c r="H342" s="31">
        <v>1</v>
      </c>
      <c r="I342" s="1" t="s">
        <v>21</v>
      </c>
      <c r="J342" s="1" t="s">
        <v>22</v>
      </c>
      <c r="K342" s="1"/>
      <c r="L342" s="1" t="s">
        <v>252</v>
      </c>
      <c r="M342" s="1"/>
      <c r="N342" s="31">
        <v>5</v>
      </c>
      <c r="O342" s="31">
        <v>1</v>
      </c>
      <c r="P342" s="32">
        <v>2016</v>
      </c>
    </row>
    <row r="343" spans="1:16" x14ac:dyDescent="0.25">
      <c r="A343" s="1" t="s">
        <v>263</v>
      </c>
      <c r="B343" s="31">
        <v>36.6</v>
      </c>
      <c r="C343" s="1" t="s">
        <v>20</v>
      </c>
      <c r="D343" s="2">
        <v>42767</v>
      </c>
      <c r="E343" s="2">
        <v>42767</v>
      </c>
      <c r="F343" s="17">
        <v>1144000</v>
      </c>
      <c r="G343" s="17">
        <v>31256.83</v>
      </c>
      <c r="H343" s="31">
        <v>1</v>
      </c>
      <c r="I343" s="1" t="s">
        <v>21</v>
      </c>
      <c r="J343" s="1" t="s">
        <v>32</v>
      </c>
      <c r="K343" s="1"/>
      <c r="L343" s="1" t="s">
        <v>252</v>
      </c>
      <c r="M343" s="1" t="s">
        <v>59</v>
      </c>
      <c r="N343" s="31">
        <v>5</v>
      </c>
      <c r="O343" s="31">
        <v>1</v>
      </c>
      <c r="P343" s="32">
        <v>2001</v>
      </c>
    </row>
    <row r="344" spans="1:16" x14ac:dyDescent="0.25">
      <c r="A344" s="1" t="s">
        <v>267</v>
      </c>
      <c r="B344" s="31">
        <v>58.8</v>
      </c>
      <c r="C344" s="1" t="s">
        <v>20</v>
      </c>
      <c r="D344" s="2">
        <v>42675</v>
      </c>
      <c r="E344" s="2">
        <v>42675</v>
      </c>
      <c r="F344" s="17">
        <v>1840000</v>
      </c>
      <c r="G344" s="17">
        <v>31292.52</v>
      </c>
      <c r="H344" s="31">
        <v>1</v>
      </c>
      <c r="I344" s="1" t="s">
        <v>21</v>
      </c>
      <c r="J344" s="1" t="s">
        <v>22</v>
      </c>
      <c r="K344" s="1"/>
      <c r="L344" s="1" t="s">
        <v>252</v>
      </c>
      <c r="M344" s="1"/>
      <c r="N344" s="31">
        <v>8</v>
      </c>
      <c r="O344" s="31">
        <v>1</v>
      </c>
      <c r="P344" s="32">
        <v>2016</v>
      </c>
    </row>
    <row r="345" spans="1:16" x14ac:dyDescent="0.25">
      <c r="A345" s="1" t="s">
        <v>256</v>
      </c>
      <c r="B345" s="31">
        <v>28.7</v>
      </c>
      <c r="C345" s="1" t="s">
        <v>20</v>
      </c>
      <c r="D345" s="2">
        <v>42675</v>
      </c>
      <c r="E345" s="2">
        <v>42675</v>
      </c>
      <c r="F345" s="17">
        <v>900000</v>
      </c>
      <c r="G345" s="17">
        <v>31358.89</v>
      </c>
      <c r="H345" s="31">
        <v>1</v>
      </c>
      <c r="I345" s="1" t="s">
        <v>21</v>
      </c>
      <c r="J345" s="1" t="s">
        <v>32</v>
      </c>
      <c r="K345" s="1"/>
      <c r="L345" s="1" t="s">
        <v>252</v>
      </c>
      <c r="M345" s="1"/>
      <c r="N345" s="31">
        <v>7</v>
      </c>
      <c r="O345" s="31">
        <v>1</v>
      </c>
      <c r="P345" s="32">
        <v>2007</v>
      </c>
    </row>
    <row r="346" spans="1:16" x14ac:dyDescent="0.25">
      <c r="A346" s="1" t="s">
        <v>264</v>
      </c>
      <c r="B346" s="31">
        <v>13.3</v>
      </c>
      <c r="C346" s="1" t="s">
        <v>20</v>
      </c>
      <c r="D346" s="2">
        <v>42767</v>
      </c>
      <c r="E346" s="2">
        <v>42767</v>
      </c>
      <c r="F346" s="17">
        <v>417100</v>
      </c>
      <c r="G346" s="17">
        <v>31360.9</v>
      </c>
      <c r="H346" s="31">
        <v>1</v>
      </c>
      <c r="I346" s="1" t="s">
        <v>21</v>
      </c>
      <c r="J346" s="1" t="s">
        <v>32</v>
      </c>
      <c r="K346" s="1"/>
      <c r="L346" s="1" t="s">
        <v>252</v>
      </c>
      <c r="M346" s="1" t="s">
        <v>265</v>
      </c>
      <c r="N346" s="31">
        <v>2</v>
      </c>
      <c r="O346" s="31">
        <v>1</v>
      </c>
      <c r="P346" s="32">
        <v>2006</v>
      </c>
    </row>
    <row r="347" spans="1:16" x14ac:dyDescent="0.25">
      <c r="A347" s="1" t="s">
        <v>262</v>
      </c>
      <c r="B347" s="31">
        <v>38.200000000000003</v>
      </c>
      <c r="C347" s="1" t="s">
        <v>20</v>
      </c>
      <c r="D347" s="2">
        <v>42614</v>
      </c>
      <c r="E347" s="2">
        <v>42644</v>
      </c>
      <c r="F347" s="17">
        <v>1200000</v>
      </c>
      <c r="G347" s="17">
        <v>31413.61</v>
      </c>
      <c r="H347" s="31">
        <v>1</v>
      </c>
      <c r="I347" s="1" t="s">
        <v>21</v>
      </c>
      <c r="J347" s="1" t="s">
        <v>32</v>
      </c>
      <c r="K347" s="1"/>
      <c r="L347" s="1" t="s">
        <v>252</v>
      </c>
      <c r="M347" s="1" t="s">
        <v>258</v>
      </c>
      <c r="N347" s="31">
        <v>1</v>
      </c>
      <c r="O347" s="31">
        <v>1</v>
      </c>
      <c r="P347" s="32">
        <v>2012</v>
      </c>
    </row>
    <row r="348" spans="1:16" x14ac:dyDescent="0.25">
      <c r="A348" s="1" t="s">
        <v>267</v>
      </c>
      <c r="B348" s="31">
        <v>58.8</v>
      </c>
      <c r="C348" s="1" t="s">
        <v>20</v>
      </c>
      <c r="D348" s="2">
        <v>42705</v>
      </c>
      <c r="E348" s="2">
        <v>42705</v>
      </c>
      <c r="F348" s="17">
        <v>1847400</v>
      </c>
      <c r="G348" s="17">
        <v>31418.37</v>
      </c>
      <c r="H348" s="31">
        <v>1</v>
      </c>
      <c r="I348" s="1" t="s">
        <v>21</v>
      </c>
      <c r="J348" s="1" t="s">
        <v>22</v>
      </c>
      <c r="K348" s="1"/>
      <c r="L348" s="1" t="s">
        <v>252</v>
      </c>
      <c r="M348" s="1"/>
      <c r="N348" s="31">
        <v>9</v>
      </c>
      <c r="O348" s="31">
        <v>2</v>
      </c>
      <c r="P348" s="32">
        <v>2016</v>
      </c>
    </row>
    <row r="349" spans="1:16" x14ac:dyDescent="0.25">
      <c r="A349" s="1" t="s">
        <v>267</v>
      </c>
      <c r="B349" s="31">
        <v>58.8</v>
      </c>
      <c r="C349" s="1" t="s">
        <v>20</v>
      </c>
      <c r="D349" s="2">
        <v>42705</v>
      </c>
      <c r="E349" s="2">
        <v>42705</v>
      </c>
      <c r="F349" s="17">
        <v>1847400</v>
      </c>
      <c r="G349" s="17">
        <v>31418.37</v>
      </c>
      <c r="H349" s="31">
        <v>1</v>
      </c>
      <c r="I349" s="1" t="s">
        <v>21</v>
      </c>
      <c r="J349" s="1" t="s">
        <v>22</v>
      </c>
      <c r="K349" s="1"/>
      <c r="L349" s="1" t="s">
        <v>252</v>
      </c>
      <c r="M349" s="1"/>
      <c r="N349" s="31">
        <v>9</v>
      </c>
      <c r="O349" s="31">
        <v>2</v>
      </c>
      <c r="P349" s="32">
        <v>2016</v>
      </c>
    </row>
    <row r="350" spans="1:16" x14ac:dyDescent="0.25">
      <c r="A350" s="1" t="s">
        <v>266</v>
      </c>
      <c r="B350" s="31">
        <v>57.5</v>
      </c>
      <c r="C350" s="1" t="s">
        <v>20</v>
      </c>
      <c r="D350" s="2">
        <v>42736</v>
      </c>
      <c r="E350" s="2">
        <v>42767</v>
      </c>
      <c r="F350" s="17">
        <v>1808000</v>
      </c>
      <c r="G350" s="17">
        <v>31443.48</v>
      </c>
      <c r="H350" s="31">
        <v>1</v>
      </c>
      <c r="I350" s="1" t="s">
        <v>21</v>
      </c>
      <c r="J350" s="1" t="s">
        <v>22</v>
      </c>
      <c r="K350" s="1"/>
      <c r="L350" s="1" t="s">
        <v>252</v>
      </c>
      <c r="M350" s="1" t="s">
        <v>130</v>
      </c>
      <c r="N350" s="31">
        <v>3</v>
      </c>
      <c r="O350" s="31">
        <v>1</v>
      </c>
      <c r="P350" s="32">
        <v>2017</v>
      </c>
    </row>
    <row r="351" spans="1:16" x14ac:dyDescent="0.25">
      <c r="A351" s="1" t="s">
        <v>266</v>
      </c>
      <c r="B351" s="31">
        <v>76.3</v>
      </c>
      <c r="C351" s="1" t="s">
        <v>20</v>
      </c>
      <c r="D351" s="2">
        <v>42767</v>
      </c>
      <c r="E351" s="2">
        <v>42767</v>
      </c>
      <c r="F351" s="17">
        <v>2400000</v>
      </c>
      <c r="G351" s="17">
        <v>31454.78</v>
      </c>
      <c r="H351" s="31">
        <v>1</v>
      </c>
      <c r="I351" s="1" t="s">
        <v>21</v>
      </c>
      <c r="J351" s="1" t="s">
        <v>22</v>
      </c>
      <c r="K351" s="1"/>
      <c r="L351" s="1" t="s">
        <v>252</v>
      </c>
      <c r="M351" s="1"/>
      <c r="N351" s="31">
        <v>4</v>
      </c>
      <c r="O351" s="31">
        <v>2</v>
      </c>
      <c r="P351" s="32">
        <v>2017</v>
      </c>
    </row>
    <row r="352" spans="1:16" x14ac:dyDescent="0.25">
      <c r="A352" s="1" t="s">
        <v>266</v>
      </c>
      <c r="B352" s="31">
        <v>76.3</v>
      </c>
      <c r="C352" s="1" t="s">
        <v>20</v>
      </c>
      <c r="D352" s="2">
        <v>42767</v>
      </c>
      <c r="E352" s="2">
        <v>42767</v>
      </c>
      <c r="F352" s="17">
        <v>2400000</v>
      </c>
      <c r="G352" s="17">
        <v>31454.78</v>
      </c>
      <c r="H352" s="31">
        <v>1</v>
      </c>
      <c r="I352" s="1" t="s">
        <v>21</v>
      </c>
      <c r="J352" s="1" t="s">
        <v>22</v>
      </c>
      <c r="K352" s="1"/>
      <c r="L352" s="1" t="s">
        <v>252</v>
      </c>
      <c r="M352" s="1"/>
      <c r="N352" s="31">
        <v>4</v>
      </c>
      <c r="O352" s="31">
        <v>2</v>
      </c>
      <c r="P352" s="32">
        <v>2017</v>
      </c>
    </row>
    <row r="353" spans="1:16" x14ac:dyDescent="0.25">
      <c r="A353" s="1" t="s">
        <v>266</v>
      </c>
      <c r="B353" s="31">
        <v>67.599999999999994</v>
      </c>
      <c r="C353" s="1" t="s">
        <v>20</v>
      </c>
      <c r="D353" s="2">
        <v>42736</v>
      </c>
      <c r="E353" s="2">
        <v>42736</v>
      </c>
      <c r="F353" s="17">
        <v>2128000</v>
      </c>
      <c r="G353" s="17">
        <v>31479.29</v>
      </c>
      <c r="H353" s="31">
        <v>1</v>
      </c>
      <c r="I353" s="1" t="s">
        <v>21</v>
      </c>
      <c r="J353" s="1" t="s">
        <v>32</v>
      </c>
      <c r="K353" s="1"/>
      <c r="L353" s="1" t="s">
        <v>252</v>
      </c>
      <c r="M353" s="1" t="s">
        <v>254</v>
      </c>
      <c r="N353" s="31">
        <v>9</v>
      </c>
      <c r="O353" s="31">
        <v>2</v>
      </c>
      <c r="P353" s="32">
        <v>2010</v>
      </c>
    </row>
    <row r="354" spans="1:16" x14ac:dyDescent="0.25">
      <c r="A354" s="1" t="s">
        <v>266</v>
      </c>
      <c r="B354" s="31">
        <v>67.599999999999994</v>
      </c>
      <c r="C354" s="1" t="s">
        <v>20</v>
      </c>
      <c r="D354" s="2">
        <v>42736</v>
      </c>
      <c r="E354" s="2">
        <v>42736</v>
      </c>
      <c r="F354" s="17">
        <v>2128000</v>
      </c>
      <c r="G354" s="17">
        <v>31479.29</v>
      </c>
      <c r="H354" s="31">
        <v>1</v>
      </c>
      <c r="I354" s="1" t="s">
        <v>21</v>
      </c>
      <c r="J354" s="1" t="s">
        <v>32</v>
      </c>
      <c r="K354" s="1"/>
      <c r="L354" s="1" t="s">
        <v>252</v>
      </c>
      <c r="M354" s="1" t="s">
        <v>254</v>
      </c>
      <c r="N354" s="31">
        <v>9</v>
      </c>
      <c r="O354" s="31">
        <v>2</v>
      </c>
      <c r="P354" s="32">
        <v>2010</v>
      </c>
    </row>
    <row r="355" spans="1:16" x14ac:dyDescent="0.25">
      <c r="A355" s="1" t="s">
        <v>275</v>
      </c>
      <c r="B355" s="31">
        <v>61.9</v>
      </c>
      <c r="C355" s="1" t="s">
        <v>20</v>
      </c>
      <c r="D355" s="2">
        <v>42675</v>
      </c>
      <c r="E355" s="2">
        <v>42675</v>
      </c>
      <c r="F355" s="17">
        <v>1950000</v>
      </c>
      <c r="G355" s="17">
        <v>31502.42</v>
      </c>
      <c r="H355" s="31">
        <v>1</v>
      </c>
      <c r="I355" s="1" t="s">
        <v>21</v>
      </c>
      <c r="J355" s="1" t="s">
        <v>32</v>
      </c>
      <c r="K355" s="1"/>
      <c r="L355" s="1" t="s">
        <v>252</v>
      </c>
      <c r="M355" s="1" t="s">
        <v>269</v>
      </c>
      <c r="N355" s="31">
        <v>3</v>
      </c>
      <c r="O355" s="31">
        <v>2</v>
      </c>
      <c r="P355" s="32">
        <v>2008</v>
      </c>
    </row>
    <row r="356" spans="1:16" x14ac:dyDescent="0.25">
      <c r="A356" s="1" t="s">
        <v>275</v>
      </c>
      <c r="B356" s="31">
        <v>61.9</v>
      </c>
      <c r="C356" s="1" t="s">
        <v>20</v>
      </c>
      <c r="D356" s="2">
        <v>42675</v>
      </c>
      <c r="E356" s="2">
        <v>42675</v>
      </c>
      <c r="F356" s="17">
        <v>1950000</v>
      </c>
      <c r="G356" s="17">
        <v>31502.42</v>
      </c>
      <c r="H356" s="31">
        <v>1</v>
      </c>
      <c r="I356" s="1" t="s">
        <v>21</v>
      </c>
      <c r="J356" s="1" t="s">
        <v>32</v>
      </c>
      <c r="K356" s="1"/>
      <c r="L356" s="1" t="s">
        <v>252</v>
      </c>
      <c r="M356" s="1" t="s">
        <v>269</v>
      </c>
      <c r="N356" s="31">
        <v>3</v>
      </c>
      <c r="O356" s="31">
        <v>2</v>
      </c>
      <c r="P356" s="32">
        <v>2008</v>
      </c>
    </row>
    <row r="357" spans="1:16" x14ac:dyDescent="0.25">
      <c r="A357" s="1" t="s">
        <v>253</v>
      </c>
      <c r="B357" s="31">
        <v>30.3</v>
      </c>
      <c r="C357" s="1" t="s">
        <v>20</v>
      </c>
      <c r="D357" s="2">
        <v>42705</v>
      </c>
      <c r="E357" s="2">
        <v>42705</v>
      </c>
      <c r="F357" s="17">
        <v>955000</v>
      </c>
      <c r="G357" s="17">
        <v>31518.15</v>
      </c>
      <c r="H357" s="31">
        <v>1</v>
      </c>
      <c r="I357" s="1" t="s">
        <v>21</v>
      </c>
      <c r="J357" s="1" t="s">
        <v>32</v>
      </c>
      <c r="K357" s="1"/>
      <c r="L357" s="1" t="s">
        <v>252</v>
      </c>
      <c r="M357" s="1" t="s">
        <v>254</v>
      </c>
      <c r="N357" s="31">
        <v>1</v>
      </c>
      <c r="O357" s="31">
        <v>2</v>
      </c>
      <c r="P357" s="32">
        <v>2001</v>
      </c>
    </row>
    <row r="358" spans="1:16" x14ac:dyDescent="0.25">
      <c r="A358" s="1" t="s">
        <v>253</v>
      </c>
      <c r="B358" s="31">
        <v>30.3</v>
      </c>
      <c r="C358" s="1" t="s">
        <v>20</v>
      </c>
      <c r="D358" s="2">
        <v>42705</v>
      </c>
      <c r="E358" s="2">
        <v>42705</v>
      </c>
      <c r="F358" s="17">
        <v>955000</v>
      </c>
      <c r="G358" s="17">
        <v>31518.15</v>
      </c>
      <c r="H358" s="31">
        <v>1</v>
      </c>
      <c r="I358" s="1" t="s">
        <v>21</v>
      </c>
      <c r="J358" s="1" t="s">
        <v>32</v>
      </c>
      <c r="K358" s="1"/>
      <c r="L358" s="1" t="s">
        <v>252</v>
      </c>
      <c r="M358" s="1" t="s">
        <v>254</v>
      </c>
      <c r="N358" s="31">
        <v>1</v>
      </c>
      <c r="O358" s="31">
        <v>2</v>
      </c>
      <c r="P358" s="32">
        <v>2001</v>
      </c>
    </row>
    <row r="359" spans="1:16" x14ac:dyDescent="0.25">
      <c r="A359" s="1" t="s">
        <v>270</v>
      </c>
      <c r="B359" s="31">
        <v>43.8</v>
      </c>
      <c r="C359" s="1" t="s">
        <v>20</v>
      </c>
      <c r="D359" s="2">
        <v>42736</v>
      </c>
      <c r="E359" s="2">
        <v>42736</v>
      </c>
      <c r="F359" s="17">
        <v>1381500</v>
      </c>
      <c r="G359" s="17">
        <v>31541.1</v>
      </c>
      <c r="H359" s="31">
        <v>1</v>
      </c>
      <c r="I359" s="1" t="s">
        <v>21</v>
      </c>
      <c r="J359" s="1" t="s">
        <v>22</v>
      </c>
      <c r="K359" s="1"/>
      <c r="L359" s="1" t="s">
        <v>252</v>
      </c>
      <c r="M359" s="1" t="s">
        <v>118</v>
      </c>
      <c r="N359" s="31">
        <v>2</v>
      </c>
      <c r="O359" s="31">
        <v>2</v>
      </c>
      <c r="P359" s="32">
        <v>2017</v>
      </c>
    </row>
    <row r="360" spans="1:16" x14ac:dyDescent="0.25">
      <c r="A360" s="1" t="s">
        <v>270</v>
      </c>
      <c r="B360" s="31">
        <v>43.8</v>
      </c>
      <c r="C360" s="1" t="s">
        <v>20</v>
      </c>
      <c r="D360" s="2">
        <v>42736</v>
      </c>
      <c r="E360" s="2">
        <v>42736</v>
      </c>
      <c r="F360" s="17">
        <v>1381500</v>
      </c>
      <c r="G360" s="17">
        <v>31541.1</v>
      </c>
      <c r="H360" s="31">
        <v>1</v>
      </c>
      <c r="I360" s="1" t="s">
        <v>21</v>
      </c>
      <c r="J360" s="1" t="s">
        <v>22</v>
      </c>
      <c r="K360" s="1"/>
      <c r="L360" s="1" t="s">
        <v>252</v>
      </c>
      <c r="M360" s="1" t="s">
        <v>118</v>
      </c>
      <c r="N360" s="31">
        <v>2</v>
      </c>
      <c r="O360" s="31">
        <v>2</v>
      </c>
      <c r="P360" s="32">
        <v>2017</v>
      </c>
    </row>
    <row r="361" spans="1:16" x14ac:dyDescent="0.25">
      <c r="A361" s="1" t="s">
        <v>253</v>
      </c>
      <c r="B361" s="31">
        <v>42.8</v>
      </c>
      <c r="C361" s="1" t="s">
        <v>20</v>
      </c>
      <c r="D361" s="2">
        <v>42705</v>
      </c>
      <c r="E361" s="2">
        <v>42705</v>
      </c>
      <c r="F361" s="17">
        <v>1350000</v>
      </c>
      <c r="G361" s="17">
        <v>31542.06</v>
      </c>
      <c r="H361" s="31">
        <v>1</v>
      </c>
      <c r="I361" s="1" t="s">
        <v>21</v>
      </c>
      <c r="J361" s="1" t="s">
        <v>32</v>
      </c>
      <c r="K361" s="1"/>
      <c r="L361" s="1" t="s">
        <v>252</v>
      </c>
      <c r="M361" s="1"/>
      <c r="N361" s="31">
        <v>4</v>
      </c>
      <c r="O361" s="31">
        <v>1</v>
      </c>
      <c r="P361" s="32">
        <v>2016</v>
      </c>
    </row>
    <row r="362" spans="1:16" x14ac:dyDescent="0.25">
      <c r="A362" s="1" t="s">
        <v>263</v>
      </c>
      <c r="B362" s="31">
        <v>53.3</v>
      </c>
      <c r="C362" s="1" t="s">
        <v>20</v>
      </c>
      <c r="D362" s="2">
        <v>42767</v>
      </c>
      <c r="E362" s="2">
        <v>42767</v>
      </c>
      <c r="F362" s="17">
        <v>1681600</v>
      </c>
      <c r="G362" s="17">
        <v>31549.72</v>
      </c>
      <c r="H362" s="31">
        <v>1</v>
      </c>
      <c r="I362" s="1" t="s">
        <v>21</v>
      </c>
      <c r="J362" s="1" t="s">
        <v>22</v>
      </c>
      <c r="K362" s="1"/>
      <c r="L362" s="1" t="s">
        <v>252</v>
      </c>
      <c r="M362" s="1"/>
      <c r="N362" s="31">
        <v>7</v>
      </c>
      <c r="O362" s="31">
        <v>2</v>
      </c>
      <c r="P362" s="32">
        <v>2017</v>
      </c>
    </row>
    <row r="363" spans="1:16" x14ac:dyDescent="0.25">
      <c r="A363" s="1" t="s">
        <v>263</v>
      </c>
      <c r="B363" s="31">
        <v>53.3</v>
      </c>
      <c r="C363" s="1" t="s">
        <v>20</v>
      </c>
      <c r="D363" s="2">
        <v>42767</v>
      </c>
      <c r="E363" s="2">
        <v>42767</v>
      </c>
      <c r="F363" s="17">
        <v>1681600</v>
      </c>
      <c r="G363" s="17">
        <v>31549.72</v>
      </c>
      <c r="H363" s="31">
        <v>1</v>
      </c>
      <c r="I363" s="1" t="s">
        <v>21</v>
      </c>
      <c r="J363" s="1" t="s">
        <v>22</v>
      </c>
      <c r="K363" s="1"/>
      <c r="L363" s="1" t="s">
        <v>252</v>
      </c>
      <c r="M363" s="1"/>
      <c r="N363" s="31">
        <v>7</v>
      </c>
      <c r="O363" s="31">
        <v>2</v>
      </c>
      <c r="P363" s="32">
        <v>2017</v>
      </c>
    </row>
    <row r="364" spans="1:16" x14ac:dyDescent="0.25">
      <c r="A364" s="1" t="s">
        <v>256</v>
      </c>
      <c r="B364" s="31">
        <v>64.5</v>
      </c>
      <c r="C364" s="1" t="s">
        <v>20</v>
      </c>
      <c r="D364" s="2">
        <v>42644</v>
      </c>
      <c r="E364" s="2">
        <v>42675</v>
      </c>
      <c r="F364" s="17">
        <v>2038000</v>
      </c>
      <c r="G364" s="17">
        <v>31596.9</v>
      </c>
      <c r="H364" s="31">
        <v>1</v>
      </c>
      <c r="I364" s="1" t="s">
        <v>21</v>
      </c>
      <c r="J364" s="1" t="s">
        <v>32</v>
      </c>
      <c r="K364" s="1"/>
      <c r="L364" s="1" t="s">
        <v>252</v>
      </c>
      <c r="M364" s="1"/>
      <c r="N364" s="31">
        <v>5</v>
      </c>
      <c r="O364" s="31">
        <v>2</v>
      </c>
      <c r="P364" s="32">
        <v>2001</v>
      </c>
    </row>
    <row r="365" spans="1:16" x14ac:dyDescent="0.25">
      <c r="A365" s="1" t="s">
        <v>256</v>
      </c>
      <c r="B365" s="31">
        <v>64.5</v>
      </c>
      <c r="C365" s="1" t="s">
        <v>20</v>
      </c>
      <c r="D365" s="2">
        <v>42644</v>
      </c>
      <c r="E365" s="2">
        <v>42675</v>
      </c>
      <c r="F365" s="17">
        <v>2038000</v>
      </c>
      <c r="G365" s="17">
        <v>31596.9</v>
      </c>
      <c r="H365" s="31">
        <v>1</v>
      </c>
      <c r="I365" s="1" t="s">
        <v>21</v>
      </c>
      <c r="J365" s="1" t="s">
        <v>32</v>
      </c>
      <c r="K365" s="1"/>
      <c r="L365" s="1" t="s">
        <v>252</v>
      </c>
      <c r="M365" s="1"/>
      <c r="N365" s="31">
        <v>5</v>
      </c>
      <c r="O365" s="31">
        <v>2</v>
      </c>
      <c r="P365" s="32">
        <v>2001</v>
      </c>
    </row>
    <row r="366" spans="1:16" x14ac:dyDescent="0.25">
      <c r="A366" s="1" t="s">
        <v>271</v>
      </c>
      <c r="B366" s="31">
        <v>30.6</v>
      </c>
      <c r="C366" s="1" t="s">
        <v>20</v>
      </c>
      <c r="D366" s="2">
        <v>42705</v>
      </c>
      <c r="E366" s="2">
        <v>42705</v>
      </c>
      <c r="F366" s="17">
        <v>968000</v>
      </c>
      <c r="G366" s="17">
        <v>31633.99</v>
      </c>
      <c r="H366" s="31">
        <v>1</v>
      </c>
      <c r="I366" s="1" t="s">
        <v>21</v>
      </c>
      <c r="J366" s="1" t="s">
        <v>32</v>
      </c>
      <c r="K366" s="1"/>
      <c r="L366" s="1" t="s">
        <v>252</v>
      </c>
      <c r="M366" s="1" t="s">
        <v>257</v>
      </c>
      <c r="N366" s="31">
        <v>4</v>
      </c>
      <c r="O366" s="31">
        <v>1</v>
      </c>
      <c r="P366" s="32">
        <v>2007</v>
      </c>
    </row>
    <row r="367" spans="1:16" x14ac:dyDescent="0.25">
      <c r="A367" s="1" t="s">
        <v>261</v>
      </c>
      <c r="B367" s="31">
        <v>37.299999999999997</v>
      </c>
      <c r="C367" s="1" t="s">
        <v>20</v>
      </c>
      <c r="D367" s="2">
        <v>42705</v>
      </c>
      <c r="E367" s="2">
        <v>42705</v>
      </c>
      <c r="F367" s="17">
        <v>1180000</v>
      </c>
      <c r="G367" s="17">
        <v>31635.39</v>
      </c>
      <c r="H367" s="31">
        <v>1</v>
      </c>
      <c r="I367" s="1" t="s">
        <v>21</v>
      </c>
      <c r="J367" s="1" t="s">
        <v>22</v>
      </c>
      <c r="K367" s="1"/>
      <c r="L367" s="1" t="s">
        <v>252</v>
      </c>
      <c r="M367" s="1"/>
      <c r="N367" s="31">
        <v>8</v>
      </c>
      <c r="O367" s="31">
        <v>1</v>
      </c>
      <c r="P367" s="32">
        <v>2016</v>
      </c>
    </row>
    <row r="368" spans="1:16" x14ac:dyDescent="0.25">
      <c r="A368" s="1" t="s">
        <v>262</v>
      </c>
      <c r="B368" s="31">
        <v>59.9</v>
      </c>
      <c r="C368" s="1" t="s">
        <v>20</v>
      </c>
      <c r="D368" s="2">
        <v>42644</v>
      </c>
      <c r="E368" s="2">
        <v>42644</v>
      </c>
      <c r="F368" s="17">
        <v>1900000</v>
      </c>
      <c r="G368" s="17">
        <v>31719.53</v>
      </c>
      <c r="H368" s="31">
        <v>1</v>
      </c>
      <c r="I368" s="1" t="s">
        <v>21</v>
      </c>
      <c r="J368" s="1" t="s">
        <v>32</v>
      </c>
      <c r="K368" s="1"/>
      <c r="L368" s="1" t="s">
        <v>252</v>
      </c>
      <c r="M368" s="1"/>
      <c r="N368" s="31">
        <v>4</v>
      </c>
      <c r="O368" s="31">
        <v>1</v>
      </c>
      <c r="P368" s="32">
        <v>2010</v>
      </c>
    </row>
    <row r="369" spans="1:16" x14ac:dyDescent="0.25">
      <c r="A369" s="1" t="s">
        <v>270</v>
      </c>
      <c r="B369" s="31">
        <v>34.299999999999997</v>
      </c>
      <c r="C369" s="1" t="s">
        <v>20</v>
      </c>
      <c r="D369" s="2">
        <v>42705</v>
      </c>
      <c r="E369" s="2">
        <v>42705</v>
      </c>
      <c r="F369" s="17">
        <v>1088000</v>
      </c>
      <c r="G369" s="17">
        <v>31720.12</v>
      </c>
      <c r="H369" s="31">
        <v>1</v>
      </c>
      <c r="I369" s="1" t="s">
        <v>21</v>
      </c>
      <c r="J369" s="1" t="s">
        <v>22</v>
      </c>
      <c r="K369" s="1"/>
      <c r="L369" s="1" t="s">
        <v>252</v>
      </c>
      <c r="M369" s="1"/>
      <c r="N369" s="31">
        <v>4</v>
      </c>
      <c r="O369" s="31">
        <v>2</v>
      </c>
      <c r="P369" s="32">
        <v>2016</v>
      </c>
    </row>
    <row r="370" spans="1:16" x14ac:dyDescent="0.25">
      <c r="A370" s="1" t="s">
        <v>270</v>
      </c>
      <c r="B370" s="31">
        <v>34.299999999999997</v>
      </c>
      <c r="C370" s="1" t="s">
        <v>20</v>
      </c>
      <c r="D370" s="2">
        <v>42705</v>
      </c>
      <c r="E370" s="2">
        <v>42705</v>
      </c>
      <c r="F370" s="17">
        <v>1088000</v>
      </c>
      <c r="G370" s="17">
        <v>31720.12</v>
      </c>
      <c r="H370" s="31">
        <v>1</v>
      </c>
      <c r="I370" s="1" t="s">
        <v>21</v>
      </c>
      <c r="J370" s="1" t="s">
        <v>22</v>
      </c>
      <c r="K370" s="1"/>
      <c r="L370" s="1" t="s">
        <v>252</v>
      </c>
      <c r="M370" s="1"/>
      <c r="N370" s="31">
        <v>4</v>
      </c>
      <c r="O370" s="31">
        <v>2</v>
      </c>
      <c r="P370" s="32">
        <v>2016</v>
      </c>
    </row>
    <row r="371" spans="1:16" x14ac:dyDescent="0.25">
      <c r="A371" s="1" t="s">
        <v>268</v>
      </c>
      <c r="B371" s="31">
        <v>40.9</v>
      </c>
      <c r="C371" s="1" t="s">
        <v>20</v>
      </c>
      <c r="D371" s="2">
        <v>42644</v>
      </c>
      <c r="E371" s="2">
        <v>42644</v>
      </c>
      <c r="F371" s="17">
        <v>1300000</v>
      </c>
      <c r="G371" s="17">
        <v>31784.84</v>
      </c>
      <c r="H371" s="31">
        <v>1</v>
      </c>
      <c r="I371" s="1" t="s">
        <v>21</v>
      </c>
      <c r="J371" s="1" t="s">
        <v>32</v>
      </c>
      <c r="K371" s="1"/>
      <c r="L371" s="1" t="s">
        <v>252</v>
      </c>
      <c r="M371" s="1" t="s">
        <v>130</v>
      </c>
      <c r="N371" s="31">
        <v>2</v>
      </c>
      <c r="O371" s="31">
        <v>1</v>
      </c>
      <c r="P371" s="32">
        <v>2003</v>
      </c>
    </row>
    <row r="372" spans="1:16" x14ac:dyDescent="0.25">
      <c r="A372" s="1" t="s">
        <v>264</v>
      </c>
      <c r="B372" s="31">
        <v>30.8</v>
      </c>
      <c r="C372" s="1" t="s">
        <v>20</v>
      </c>
      <c r="D372" s="2">
        <v>42675</v>
      </c>
      <c r="E372" s="2">
        <v>42675</v>
      </c>
      <c r="F372" s="17">
        <v>980000</v>
      </c>
      <c r="G372" s="17">
        <v>31818.18</v>
      </c>
      <c r="H372" s="31">
        <v>1</v>
      </c>
      <c r="I372" s="1" t="s">
        <v>21</v>
      </c>
      <c r="J372" s="1" t="s">
        <v>22</v>
      </c>
      <c r="K372" s="1"/>
      <c r="L372" s="1" t="s">
        <v>252</v>
      </c>
      <c r="M372" s="1"/>
      <c r="N372" s="31">
        <v>2</v>
      </c>
      <c r="O372" s="31">
        <v>1</v>
      </c>
      <c r="P372" s="32">
        <v>2016</v>
      </c>
    </row>
    <row r="373" spans="1:16" x14ac:dyDescent="0.25">
      <c r="A373" s="1" t="s">
        <v>260</v>
      </c>
      <c r="B373" s="31">
        <v>40.799999999999997</v>
      </c>
      <c r="C373" s="1" t="s">
        <v>20</v>
      </c>
      <c r="D373" s="2">
        <v>42614</v>
      </c>
      <c r="E373" s="2">
        <v>42644</v>
      </c>
      <c r="F373" s="17">
        <v>1300000</v>
      </c>
      <c r="G373" s="17">
        <v>31862.75</v>
      </c>
      <c r="H373" s="31">
        <v>1</v>
      </c>
      <c r="I373" s="1" t="s">
        <v>21</v>
      </c>
      <c r="J373" s="1" t="s">
        <v>32</v>
      </c>
      <c r="K373" s="1"/>
      <c r="L373" s="1" t="s">
        <v>252</v>
      </c>
      <c r="M373" s="1" t="s">
        <v>258</v>
      </c>
      <c r="N373" s="31">
        <v>1</v>
      </c>
      <c r="O373" s="31">
        <v>2</v>
      </c>
      <c r="P373" s="32">
        <v>2009</v>
      </c>
    </row>
    <row r="374" spans="1:16" x14ac:dyDescent="0.25">
      <c r="A374" s="1" t="s">
        <v>260</v>
      </c>
      <c r="B374" s="31">
        <v>40.799999999999997</v>
      </c>
      <c r="C374" s="1" t="s">
        <v>20</v>
      </c>
      <c r="D374" s="2">
        <v>42614</v>
      </c>
      <c r="E374" s="2">
        <v>42644</v>
      </c>
      <c r="F374" s="17">
        <v>1300000</v>
      </c>
      <c r="G374" s="17">
        <v>31862.75</v>
      </c>
      <c r="H374" s="31">
        <v>1</v>
      </c>
      <c r="I374" s="1" t="s">
        <v>21</v>
      </c>
      <c r="J374" s="1" t="s">
        <v>32</v>
      </c>
      <c r="K374" s="1"/>
      <c r="L374" s="1" t="s">
        <v>252</v>
      </c>
      <c r="M374" s="1" t="s">
        <v>258</v>
      </c>
      <c r="N374" s="31">
        <v>1</v>
      </c>
      <c r="O374" s="31">
        <v>2</v>
      </c>
      <c r="P374" s="32">
        <v>2009</v>
      </c>
    </row>
    <row r="375" spans="1:16" x14ac:dyDescent="0.25">
      <c r="A375" s="1" t="s">
        <v>263</v>
      </c>
      <c r="B375" s="31">
        <v>35.200000000000003</v>
      </c>
      <c r="C375" s="1" t="s">
        <v>20</v>
      </c>
      <c r="D375" s="2">
        <v>42705</v>
      </c>
      <c r="E375" s="2">
        <v>42705</v>
      </c>
      <c r="F375" s="17">
        <v>1122000</v>
      </c>
      <c r="G375" s="17">
        <v>31875</v>
      </c>
      <c r="H375" s="31">
        <v>1</v>
      </c>
      <c r="I375" s="1" t="s">
        <v>21</v>
      </c>
      <c r="J375" s="1" t="s">
        <v>22</v>
      </c>
      <c r="K375" s="1"/>
      <c r="L375" s="1" t="s">
        <v>252</v>
      </c>
      <c r="M375" s="1"/>
      <c r="N375" s="31">
        <v>9</v>
      </c>
      <c r="O375" s="31">
        <v>1</v>
      </c>
      <c r="P375" s="32">
        <v>2016</v>
      </c>
    </row>
    <row r="376" spans="1:16" x14ac:dyDescent="0.25">
      <c r="A376" s="1" t="s">
        <v>262</v>
      </c>
      <c r="B376" s="31">
        <v>29.9</v>
      </c>
      <c r="C376" s="1" t="s">
        <v>20</v>
      </c>
      <c r="D376" s="2">
        <v>42675</v>
      </c>
      <c r="E376" s="2">
        <v>42675</v>
      </c>
      <c r="F376" s="17">
        <v>956800</v>
      </c>
      <c r="G376" s="17">
        <v>32000</v>
      </c>
      <c r="H376" s="31">
        <v>1</v>
      </c>
      <c r="I376" s="1" t="s">
        <v>21</v>
      </c>
      <c r="J376" s="1" t="s">
        <v>22</v>
      </c>
      <c r="K376" s="1"/>
      <c r="L376" s="1" t="s">
        <v>252</v>
      </c>
      <c r="M376" s="1"/>
      <c r="N376" s="31">
        <v>4</v>
      </c>
      <c r="O376" s="31">
        <v>2</v>
      </c>
      <c r="P376" s="32">
        <v>2016</v>
      </c>
    </row>
    <row r="377" spans="1:16" x14ac:dyDescent="0.25">
      <c r="A377" s="1" t="s">
        <v>262</v>
      </c>
      <c r="B377" s="31">
        <v>29.9</v>
      </c>
      <c r="C377" s="1" t="s">
        <v>20</v>
      </c>
      <c r="D377" s="2">
        <v>42675</v>
      </c>
      <c r="E377" s="2">
        <v>42675</v>
      </c>
      <c r="F377" s="17">
        <v>956800</v>
      </c>
      <c r="G377" s="17">
        <v>32000</v>
      </c>
      <c r="H377" s="31">
        <v>1</v>
      </c>
      <c r="I377" s="1" t="s">
        <v>21</v>
      </c>
      <c r="J377" s="1" t="s">
        <v>22</v>
      </c>
      <c r="K377" s="1"/>
      <c r="L377" s="1" t="s">
        <v>252</v>
      </c>
      <c r="M377" s="1"/>
      <c r="N377" s="31">
        <v>4</v>
      </c>
      <c r="O377" s="31">
        <v>2</v>
      </c>
      <c r="P377" s="32">
        <v>2016</v>
      </c>
    </row>
    <row r="378" spans="1:16" x14ac:dyDescent="0.25">
      <c r="A378" s="1" t="s">
        <v>262</v>
      </c>
      <c r="B378" s="31">
        <v>63</v>
      </c>
      <c r="C378" s="1" t="s">
        <v>20</v>
      </c>
      <c r="D378" s="2">
        <v>42767</v>
      </c>
      <c r="E378" s="2">
        <v>42767</v>
      </c>
      <c r="F378" s="17">
        <v>2016000</v>
      </c>
      <c r="G378" s="17">
        <v>32000</v>
      </c>
      <c r="H378" s="31">
        <v>1</v>
      </c>
      <c r="I378" s="1" t="s">
        <v>21</v>
      </c>
      <c r="J378" s="1" t="s">
        <v>22</v>
      </c>
      <c r="K378" s="1"/>
      <c r="L378" s="1" t="s">
        <v>252</v>
      </c>
      <c r="M378" s="1"/>
      <c r="N378" s="31">
        <v>1</v>
      </c>
      <c r="O378" s="31">
        <v>2</v>
      </c>
      <c r="P378" s="32">
        <v>2016</v>
      </c>
    </row>
    <row r="379" spans="1:16" x14ac:dyDescent="0.25">
      <c r="A379" s="1" t="s">
        <v>263</v>
      </c>
      <c r="B379" s="31">
        <v>27.7</v>
      </c>
      <c r="C379" s="1" t="s">
        <v>20</v>
      </c>
      <c r="D379" s="2">
        <v>42675</v>
      </c>
      <c r="E379" s="2">
        <v>42675</v>
      </c>
      <c r="F379" s="17">
        <v>890000</v>
      </c>
      <c r="G379" s="17">
        <v>32129.96</v>
      </c>
      <c r="H379" s="31">
        <v>1</v>
      </c>
      <c r="I379" s="1" t="s">
        <v>21</v>
      </c>
      <c r="J379" s="1" t="s">
        <v>32</v>
      </c>
      <c r="K379" s="1"/>
      <c r="L379" s="1" t="s">
        <v>252</v>
      </c>
      <c r="M379" s="1" t="s">
        <v>59</v>
      </c>
      <c r="N379" s="31">
        <v>3</v>
      </c>
      <c r="O379" s="31">
        <v>1</v>
      </c>
      <c r="P379" s="32">
        <v>2000</v>
      </c>
    </row>
    <row r="380" spans="1:16" x14ac:dyDescent="0.25">
      <c r="A380" s="1" t="s">
        <v>267</v>
      </c>
      <c r="B380" s="31">
        <v>36.200000000000003</v>
      </c>
      <c r="C380" s="1" t="s">
        <v>20</v>
      </c>
      <c r="D380" s="2">
        <v>42675</v>
      </c>
      <c r="E380" s="2">
        <v>42675</v>
      </c>
      <c r="F380" s="17">
        <v>1170000</v>
      </c>
      <c r="G380" s="17">
        <v>32320.44</v>
      </c>
      <c r="H380" s="31">
        <v>1</v>
      </c>
      <c r="I380" s="1" t="s">
        <v>21</v>
      </c>
      <c r="J380" s="1" t="s">
        <v>22</v>
      </c>
      <c r="K380" s="1"/>
      <c r="L380" s="1" t="s">
        <v>252</v>
      </c>
      <c r="M380" s="1"/>
      <c r="N380" s="31">
        <v>7</v>
      </c>
      <c r="O380" s="31">
        <v>1</v>
      </c>
      <c r="P380" s="32">
        <v>2016</v>
      </c>
    </row>
    <row r="381" spans="1:16" x14ac:dyDescent="0.25">
      <c r="A381" s="1" t="s">
        <v>267</v>
      </c>
      <c r="B381" s="31">
        <v>64.3</v>
      </c>
      <c r="C381" s="1" t="s">
        <v>20</v>
      </c>
      <c r="D381" s="2">
        <v>42705</v>
      </c>
      <c r="E381" s="2">
        <v>42705</v>
      </c>
      <c r="F381" s="17">
        <v>2079200</v>
      </c>
      <c r="G381" s="17">
        <v>32335.93</v>
      </c>
      <c r="H381" s="31">
        <v>1</v>
      </c>
      <c r="I381" s="1" t="s">
        <v>21</v>
      </c>
      <c r="J381" s="1" t="s">
        <v>22</v>
      </c>
      <c r="K381" s="1"/>
      <c r="L381" s="1" t="s">
        <v>252</v>
      </c>
      <c r="M381" s="1"/>
      <c r="N381" s="31">
        <v>8</v>
      </c>
      <c r="O381" s="31">
        <v>2</v>
      </c>
      <c r="P381" s="32">
        <v>2016</v>
      </c>
    </row>
    <row r="382" spans="1:16" x14ac:dyDescent="0.25">
      <c r="A382" s="1" t="s">
        <v>267</v>
      </c>
      <c r="B382" s="31">
        <v>64.3</v>
      </c>
      <c r="C382" s="1" t="s">
        <v>20</v>
      </c>
      <c r="D382" s="2">
        <v>42705</v>
      </c>
      <c r="E382" s="2">
        <v>42705</v>
      </c>
      <c r="F382" s="17">
        <v>2079200</v>
      </c>
      <c r="G382" s="17">
        <v>32335.93</v>
      </c>
      <c r="H382" s="31">
        <v>1</v>
      </c>
      <c r="I382" s="1" t="s">
        <v>21</v>
      </c>
      <c r="J382" s="1" t="s">
        <v>22</v>
      </c>
      <c r="K382" s="1"/>
      <c r="L382" s="1" t="s">
        <v>252</v>
      </c>
      <c r="M382" s="1"/>
      <c r="N382" s="31">
        <v>8</v>
      </c>
      <c r="O382" s="31">
        <v>2</v>
      </c>
      <c r="P382" s="32">
        <v>2016</v>
      </c>
    </row>
    <row r="383" spans="1:16" x14ac:dyDescent="0.25">
      <c r="A383" s="1" t="s">
        <v>270</v>
      </c>
      <c r="B383" s="31">
        <v>49.4</v>
      </c>
      <c r="C383" s="1" t="s">
        <v>20</v>
      </c>
      <c r="D383" s="2">
        <v>42705</v>
      </c>
      <c r="E383" s="2">
        <v>42705</v>
      </c>
      <c r="F383" s="17">
        <v>1600000</v>
      </c>
      <c r="G383" s="17">
        <v>32388.66</v>
      </c>
      <c r="H383" s="31">
        <v>1</v>
      </c>
      <c r="I383" s="1" t="s">
        <v>21</v>
      </c>
      <c r="J383" s="1" t="s">
        <v>32</v>
      </c>
      <c r="K383" s="1"/>
      <c r="L383" s="1" t="s">
        <v>252</v>
      </c>
      <c r="M383" s="1" t="s">
        <v>130</v>
      </c>
      <c r="N383" s="31">
        <v>1</v>
      </c>
      <c r="O383" s="31">
        <v>2</v>
      </c>
      <c r="P383" s="32">
        <v>2005</v>
      </c>
    </row>
    <row r="384" spans="1:16" x14ac:dyDescent="0.25">
      <c r="A384" s="1" t="s">
        <v>270</v>
      </c>
      <c r="B384" s="31">
        <v>49.4</v>
      </c>
      <c r="C384" s="1" t="s">
        <v>20</v>
      </c>
      <c r="D384" s="2">
        <v>42705</v>
      </c>
      <c r="E384" s="2">
        <v>42705</v>
      </c>
      <c r="F384" s="17">
        <v>1600000</v>
      </c>
      <c r="G384" s="17">
        <v>32388.66</v>
      </c>
      <c r="H384" s="31">
        <v>1</v>
      </c>
      <c r="I384" s="1" t="s">
        <v>21</v>
      </c>
      <c r="J384" s="1" t="s">
        <v>32</v>
      </c>
      <c r="K384" s="1"/>
      <c r="L384" s="1" t="s">
        <v>252</v>
      </c>
      <c r="M384" s="1" t="s">
        <v>130</v>
      </c>
      <c r="N384" s="31">
        <v>1</v>
      </c>
      <c r="O384" s="31">
        <v>2</v>
      </c>
      <c r="P384" s="32">
        <v>2005</v>
      </c>
    </row>
    <row r="385" spans="1:16" x14ac:dyDescent="0.25">
      <c r="A385" s="1" t="s">
        <v>268</v>
      </c>
      <c r="B385" s="31">
        <v>30.1</v>
      </c>
      <c r="C385" s="1" t="s">
        <v>20</v>
      </c>
      <c r="D385" s="2">
        <v>42705</v>
      </c>
      <c r="E385" s="2">
        <v>42705</v>
      </c>
      <c r="F385" s="17">
        <v>976000</v>
      </c>
      <c r="G385" s="17">
        <v>32425.25</v>
      </c>
      <c r="H385" s="31">
        <v>1</v>
      </c>
      <c r="I385" s="1" t="s">
        <v>21</v>
      </c>
      <c r="J385" s="1" t="s">
        <v>32</v>
      </c>
      <c r="K385" s="1"/>
      <c r="L385" s="1" t="s">
        <v>252</v>
      </c>
      <c r="M385" s="1" t="s">
        <v>130</v>
      </c>
      <c r="N385" s="31">
        <v>3</v>
      </c>
      <c r="O385" s="31">
        <v>1</v>
      </c>
      <c r="P385" s="32">
        <v>2005</v>
      </c>
    </row>
    <row r="386" spans="1:16" x14ac:dyDescent="0.25">
      <c r="A386" s="1" t="s">
        <v>270</v>
      </c>
      <c r="B386" s="31">
        <v>49.3</v>
      </c>
      <c r="C386" s="1" t="s">
        <v>20</v>
      </c>
      <c r="D386" s="2">
        <v>42767</v>
      </c>
      <c r="E386" s="2">
        <v>42767</v>
      </c>
      <c r="F386" s="17">
        <v>1600000</v>
      </c>
      <c r="G386" s="17">
        <v>32454.36</v>
      </c>
      <c r="H386" s="31">
        <v>1</v>
      </c>
      <c r="I386" s="1" t="s">
        <v>21</v>
      </c>
      <c r="J386" s="1" t="s">
        <v>32</v>
      </c>
      <c r="K386" s="1"/>
      <c r="L386" s="1" t="s">
        <v>252</v>
      </c>
      <c r="M386" s="1" t="s">
        <v>118</v>
      </c>
      <c r="N386" s="31">
        <v>3</v>
      </c>
      <c r="O386" s="31">
        <v>2</v>
      </c>
      <c r="P386" s="32">
        <v>2004</v>
      </c>
    </row>
    <row r="387" spans="1:16" x14ac:dyDescent="0.25">
      <c r="A387" s="1" t="s">
        <v>267</v>
      </c>
      <c r="B387" s="31">
        <v>38.6</v>
      </c>
      <c r="C387" s="1" t="s">
        <v>20</v>
      </c>
      <c r="D387" s="2">
        <v>42705</v>
      </c>
      <c r="E387" s="2">
        <v>42705</v>
      </c>
      <c r="F387" s="17">
        <v>1254000</v>
      </c>
      <c r="G387" s="17">
        <v>32487.05</v>
      </c>
      <c r="H387" s="31">
        <v>1</v>
      </c>
      <c r="I387" s="1" t="s">
        <v>21</v>
      </c>
      <c r="J387" s="1" t="s">
        <v>32</v>
      </c>
      <c r="K387" s="1"/>
      <c r="L387" s="1" t="s">
        <v>252</v>
      </c>
      <c r="M387" s="1"/>
      <c r="N387" s="31">
        <v>6</v>
      </c>
      <c r="O387" s="31">
        <v>1</v>
      </c>
      <c r="P387" s="32">
        <v>2016</v>
      </c>
    </row>
    <row r="388" spans="1:16" x14ac:dyDescent="0.25">
      <c r="A388" s="1" t="s">
        <v>267</v>
      </c>
      <c r="B388" s="31">
        <v>58.8</v>
      </c>
      <c r="C388" s="1" t="s">
        <v>20</v>
      </c>
      <c r="D388" s="2">
        <v>42705</v>
      </c>
      <c r="E388" s="2">
        <v>42705</v>
      </c>
      <c r="F388" s="17">
        <v>1910400</v>
      </c>
      <c r="G388" s="17">
        <v>32489.8</v>
      </c>
      <c r="H388" s="31">
        <v>1</v>
      </c>
      <c r="I388" s="1" t="s">
        <v>21</v>
      </c>
      <c r="J388" s="1" t="s">
        <v>32</v>
      </c>
      <c r="K388" s="1"/>
      <c r="L388" s="1" t="s">
        <v>252</v>
      </c>
      <c r="M388" s="1"/>
      <c r="N388" s="31">
        <v>9</v>
      </c>
      <c r="O388" s="31">
        <v>2</v>
      </c>
      <c r="P388" s="32">
        <v>2016</v>
      </c>
    </row>
    <row r="389" spans="1:16" x14ac:dyDescent="0.25">
      <c r="A389" s="1" t="s">
        <v>267</v>
      </c>
      <c r="B389" s="31">
        <v>58.8</v>
      </c>
      <c r="C389" s="1" t="s">
        <v>20</v>
      </c>
      <c r="D389" s="2">
        <v>42705</v>
      </c>
      <c r="E389" s="2">
        <v>42705</v>
      </c>
      <c r="F389" s="17">
        <v>1910400</v>
      </c>
      <c r="G389" s="17">
        <v>32489.8</v>
      </c>
      <c r="H389" s="31">
        <v>1</v>
      </c>
      <c r="I389" s="1" t="s">
        <v>21</v>
      </c>
      <c r="J389" s="1" t="s">
        <v>32</v>
      </c>
      <c r="K389" s="1"/>
      <c r="L389" s="1" t="s">
        <v>252</v>
      </c>
      <c r="M389" s="1"/>
      <c r="N389" s="31">
        <v>9</v>
      </c>
      <c r="O389" s="31">
        <v>2</v>
      </c>
      <c r="P389" s="32">
        <v>2016</v>
      </c>
    </row>
    <row r="390" spans="1:16" x14ac:dyDescent="0.25">
      <c r="A390" s="1" t="s">
        <v>259</v>
      </c>
      <c r="B390" s="31">
        <v>38.4</v>
      </c>
      <c r="C390" s="1" t="s">
        <v>20</v>
      </c>
      <c r="D390" s="2">
        <v>42736</v>
      </c>
      <c r="E390" s="2">
        <v>42736</v>
      </c>
      <c r="F390" s="17">
        <v>1250000</v>
      </c>
      <c r="G390" s="17">
        <v>32552.080000000002</v>
      </c>
      <c r="H390" s="31">
        <v>1</v>
      </c>
      <c r="I390" s="1" t="s">
        <v>21</v>
      </c>
      <c r="J390" s="1" t="s">
        <v>32</v>
      </c>
      <c r="K390" s="1"/>
      <c r="L390" s="1" t="s">
        <v>252</v>
      </c>
      <c r="M390" s="1" t="s">
        <v>174</v>
      </c>
      <c r="N390" s="31">
        <v>6</v>
      </c>
      <c r="O390" s="31">
        <v>1</v>
      </c>
      <c r="P390" s="32">
        <v>2014</v>
      </c>
    </row>
    <row r="391" spans="1:16" x14ac:dyDescent="0.25">
      <c r="A391" s="1" t="s">
        <v>264</v>
      </c>
      <c r="B391" s="31">
        <v>13</v>
      </c>
      <c r="C391" s="1" t="s">
        <v>20</v>
      </c>
      <c r="D391" s="2">
        <v>42644</v>
      </c>
      <c r="E391" s="2">
        <v>42644</v>
      </c>
      <c r="F391" s="17">
        <v>424000</v>
      </c>
      <c r="G391" s="17">
        <v>32615.38</v>
      </c>
      <c r="H391" s="31">
        <v>1</v>
      </c>
      <c r="I391" s="1" t="s">
        <v>21</v>
      </c>
      <c r="J391" s="1" t="s">
        <v>32</v>
      </c>
      <c r="K391" s="1"/>
      <c r="L391" s="1" t="s">
        <v>252</v>
      </c>
      <c r="M391" s="1" t="s">
        <v>265</v>
      </c>
      <c r="N391" s="31">
        <v>2</v>
      </c>
      <c r="O391" s="31">
        <v>1</v>
      </c>
      <c r="P391" s="32">
        <v>2006</v>
      </c>
    </row>
    <row r="392" spans="1:16" x14ac:dyDescent="0.25">
      <c r="A392" s="1" t="s">
        <v>260</v>
      </c>
      <c r="B392" s="31">
        <v>39.700000000000003</v>
      </c>
      <c r="C392" s="1" t="s">
        <v>20</v>
      </c>
      <c r="D392" s="2">
        <v>42644</v>
      </c>
      <c r="E392" s="2">
        <v>42644</v>
      </c>
      <c r="F392" s="17">
        <v>1300000</v>
      </c>
      <c r="G392" s="17">
        <v>32745.59</v>
      </c>
      <c r="H392" s="31">
        <v>1</v>
      </c>
      <c r="I392" s="1" t="s">
        <v>21</v>
      </c>
      <c r="J392" s="1" t="s">
        <v>22</v>
      </c>
      <c r="K392" s="1"/>
      <c r="L392" s="1" t="s">
        <v>252</v>
      </c>
      <c r="M392" s="1" t="s">
        <v>274</v>
      </c>
      <c r="N392" s="31">
        <v>5</v>
      </c>
      <c r="O392" s="31">
        <v>1</v>
      </c>
      <c r="P392" s="32">
        <v>2001</v>
      </c>
    </row>
    <row r="393" spans="1:16" x14ac:dyDescent="0.25">
      <c r="A393" s="1" t="s">
        <v>267</v>
      </c>
      <c r="B393" s="31">
        <v>58.2</v>
      </c>
      <c r="C393" s="1" t="s">
        <v>20</v>
      </c>
      <c r="D393" s="2">
        <v>42705</v>
      </c>
      <c r="E393" s="2">
        <v>42705</v>
      </c>
      <c r="F393" s="17">
        <v>1912000</v>
      </c>
      <c r="G393" s="17">
        <v>32852.230000000003</v>
      </c>
      <c r="H393" s="31">
        <v>1</v>
      </c>
      <c r="I393" s="1" t="s">
        <v>21</v>
      </c>
      <c r="J393" s="1" t="s">
        <v>32</v>
      </c>
      <c r="K393" s="1"/>
      <c r="L393" s="1" t="s">
        <v>252</v>
      </c>
      <c r="M393" s="1"/>
      <c r="N393" s="31">
        <v>6</v>
      </c>
      <c r="O393" s="31">
        <v>1</v>
      </c>
      <c r="P393" s="32">
        <v>2012</v>
      </c>
    </row>
    <row r="394" spans="1:16" x14ac:dyDescent="0.25">
      <c r="A394" s="1" t="s">
        <v>264</v>
      </c>
      <c r="B394" s="31">
        <v>18</v>
      </c>
      <c r="C394" s="1" t="s">
        <v>20</v>
      </c>
      <c r="D394" s="2">
        <v>42644</v>
      </c>
      <c r="E394" s="2">
        <v>42644</v>
      </c>
      <c r="F394" s="17">
        <v>592000</v>
      </c>
      <c r="G394" s="17">
        <v>32888.89</v>
      </c>
      <c r="H394" s="31">
        <v>1</v>
      </c>
      <c r="I394" s="1" t="s">
        <v>21</v>
      </c>
      <c r="J394" s="1" t="s">
        <v>32</v>
      </c>
      <c r="K394" s="1"/>
      <c r="L394" s="1" t="s">
        <v>252</v>
      </c>
      <c r="M394" s="1" t="s">
        <v>265</v>
      </c>
      <c r="N394" s="31">
        <v>3</v>
      </c>
      <c r="O394" s="31">
        <v>1</v>
      </c>
      <c r="P394" s="32">
        <v>2006</v>
      </c>
    </row>
    <row r="395" spans="1:16" x14ac:dyDescent="0.25">
      <c r="A395" s="1" t="s">
        <v>271</v>
      </c>
      <c r="B395" s="31">
        <v>43.8</v>
      </c>
      <c r="C395" s="1" t="s">
        <v>20</v>
      </c>
      <c r="D395" s="2">
        <v>42614</v>
      </c>
      <c r="E395" s="2">
        <v>42644</v>
      </c>
      <c r="F395" s="17">
        <v>1445000</v>
      </c>
      <c r="G395" s="17">
        <v>32990.870000000003</v>
      </c>
      <c r="H395" s="31">
        <v>1</v>
      </c>
      <c r="I395" s="1" t="s">
        <v>21</v>
      </c>
      <c r="J395" s="1" t="s">
        <v>32</v>
      </c>
      <c r="K395" s="1"/>
      <c r="L395" s="1" t="s">
        <v>252</v>
      </c>
      <c r="M395" s="1"/>
      <c r="N395" s="31">
        <v>8</v>
      </c>
      <c r="O395" s="31">
        <v>2</v>
      </c>
      <c r="P395" s="32">
        <v>2001</v>
      </c>
    </row>
    <row r="396" spans="1:16" x14ac:dyDescent="0.25">
      <c r="A396" s="1" t="s">
        <v>271</v>
      </c>
      <c r="B396" s="31">
        <v>43.8</v>
      </c>
      <c r="C396" s="1" t="s">
        <v>20</v>
      </c>
      <c r="D396" s="2">
        <v>42614</v>
      </c>
      <c r="E396" s="2">
        <v>42644</v>
      </c>
      <c r="F396" s="17">
        <v>1445000</v>
      </c>
      <c r="G396" s="17">
        <v>32990.870000000003</v>
      </c>
      <c r="H396" s="31">
        <v>1</v>
      </c>
      <c r="I396" s="1" t="s">
        <v>21</v>
      </c>
      <c r="J396" s="1" t="s">
        <v>32</v>
      </c>
      <c r="K396" s="1"/>
      <c r="L396" s="1" t="s">
        <v>252</v>
      </c>
      <c r="M396" s="1"/>
      <c r="N396" s="31">
        <v>8</v>
      </c>
      <c r="O396" s="31">
        <v>2</v>
      </c>
      <c r="P396" s="32">
        <v>2001</v>
      </c>
    </row>
    <row r="397" spans="1:16" x14ac:dyDescent="0.25">
      <c r="A397" s="1" t="s">
        <v>271</v>
      </c>
      <c r="B397" s="31">
        <v>36.299999999999997</v>
      </c>
      <c r="C397" s="1" t="s">
        <v>20</v>
      </c>
      <c r="D397" s="2">
        <v>42675</v>
      </c>
      <c r="E397" s="2">
        <v>42675</v>
      </c>
      <c r="F397" s="17">
        <v>1199000</v>
      </c>
      <c r="G397" s="17">
        <v>33030.300000000003</v>
      </c>
      <c r="H397" s="31">
        <v>1</v>
      </c>
      <c r="I397" s="1" t="s">
        <v>21</v>
      </c>
      <c r="J397" s="1" t="s">
        <v>32</v>
      </c>
      <c r="K397" s="1"/>
      <c r="L397" s="1" t="s">
        <v>252</v>
      </c>
      <c r="M397" s="1"/>
      <c r="N397" s="31">
        <v>3</v>
      </c>
      <c r="O397" s="31">
        <v>1</v>
      </c>
      <c r="P397" s="32">
        <v>2005</v>
      </c>
    </row>
    <row r="398" spans="1:16" x14ac:dyDescent="0.25">
      <c r="A398" s="1" t="s">
        <v>267</v>
      </c>
      <c r="B398" s="31">
        <v>36.5</v>
      </c>
      <c r="C398" s="1" t="s">
        <v>20</v>
      </c>
      <c r="D398" s="2">
        <v>42705</v>
      </c>
      <c r="E398" s="2">
        <v>42705</v>
      </c>
      <c r="F398" s="17">
        <v>1209600</v>
      </c>
      <c r="G398" s="17">
        <v>33139.730000000003</v>
      </c>
      <c r="H398" s="31">
        <v>1</v>
      </c>
      <c r="I398" s="1" t="s">
        <v>21</v>
      </c>
      <c r="J398" s="1" t="s">
        <v>22</v>
      </c>
      <c r="K398" s="1"/>
      <c r="L398" s="1" t="s">
        <v>252</v>
      </c>
      <c r="M398" s="1"/>
      <c r="N398" s="31">
        <v>5</v>
      </c>
      <c r="O398" s="31">
        <v>1</v>
      </c>
      <c r="P398" s="32">
        <v>2016</v>
      </c>
    </row>
    <row r="399" spans="1:16" x14ac:dyDescent="0.25">
      <c r="A399" s="1" t="s">
        <v>261</v>
      </c>
      <c r="B399" s="31">
        <v>49.7</v>
      </c>
      <c r="C399" s="1" t="s">
        <v>20</v>
      </c>
      <c r="D399" s="2">
        <v>42705</v>
      </c>
      <c r="E399" s="2">
        <v>42705</v>
      </c>
      <c r="F399" s="17">
        <v>1650000</v>
      </c>
      <c r="G399" s="17">
        <v>33199.199999999997</v>
      </c>
      <c r="H399" s="31">
        <v>1</v>
      </c>
      <c r="I399" s="1" t="s">
        <v>21</v>
      </c>
      <c r="J399" s="1" t="s">
        <v>32</v>
      </c>
      <c r="K399" s="1"/>
      <c r="L399" s="1" t="s">
        <v>252</v>
      </c>
      <c r="M399" s="1"/>
      <c r="N399" s="31">
        <v>2</v>
      </c>
      <c r="O399" s="31">
        <v>1</v>
      </c>
      <c r="P399" s="32">
        <v>2016</v>
      </c>
    </row>
    <row r="400" spans="1:16" x14ac:dyDescent="0.25">
      <c r="A400" s="1" t="s">
        <v>264</v>
      </c>
      <c r="B400" s="31">
        <v>28.9</v>
      </c>
      <c r="C400" s="1" t="s">
        <v>20</v>
      </c>
      <c r="D400" s="2">
        <v>42675</v>
      </c>
      <c r="E400" s="2">
        <v>42675</v>
      </c>
      <c r="F400" s="17">
        <v>960000</v>
      </c>
      <c r="G400" s="17">
        <v>33217.99</v>
      </c>
      <c r="H400" s="31">
        <v>1</v>
      </c>
      <c r="I400" s="1" t="s">
        <v>21</v>
      </c>
      <c r="J400" s="1" t="s">
        <v>32</v>
      </c>
      <c r="K400" s="1"/>
      <c r="L400" s="1" t="s">
        <v>252</v>
      </c>
      <c r="M400" s="1" t="s">
        <v>269</v>
      </c>
      <c r="N400" s="31">
        <v>5</v>
      </c>
      <c r="O400" s="31">
        <v>1</v>
      </c>
      <c r="P400" s="32">
        <v>2000</v>
      </c>
    </row>
    <row r="401" spans="1:16" x14ac:dyDescent="0.25">
      <c r="A401" s="1" t="s">
        <v>256</v>
      </c>
      <c r="B401" s="31">
        <v>35.9</v>
      </c>
      <c r="C401" s="1" t="s">
        <v>20</v>
      </c>
      <c r="D401" s="2">
        <v>42736</v>
      </c>
      <c r="E401" s="2">
        <v>42736</v>
      </c>
      <c r="F401" s="17">
        <v>1200000</v>
      </c>
      <c r="G401" s="17">
        <v>33426.18</v>
      </c>
      <c r="H401" s="31">
        <v>1</v>
      </c>
      <c r="I401" s="1" t="s">
        <v>21</v>
      </c>
      <c r="J401" s="1" t="s">
        <v>32</v>
      </c>
      <c r="K401" s="1"/>
      <c r="L401" s="1" t="s">
        <v>252</v>
      </c>
      <c r="M401" s="1"/>
      <c r="N401" s="31">
        <v>5</v>
      </c>
      <c r="O401" s="31">
        <v>1</v>
      </c>
      <c r="P401" s="32">
        <v>2010</v>
      </c>
    </row>
    <row r="402" spans="1:16" x14ac:dyDescent="0.25">
      <c r="A402" s="1" t="s">
        <v>261</v>
      </c>
      <c r="B402" s="31">
        <v>31.5</v>
      </c>
      <c r="C402" s="1" t="s">
        <v>20</v>
      </c>
      <c r="D402" s="2">
        <v>42767</v>
      </c>
      <c r="E402" s="2">
        <v>42767</v>
      </c>
      <c r="F402" s="17">
        <v>1056000</v>
      </c>
      <c r="G402" s="17">
        <v>33523.81</v>
      </c>
      <c r="H402" s="31">
        <v>1</v>
      </c>
      <c r="I402" s="1" t="s">
        <v>21</v>
      </c>
      <c r="J402" s="1" t="s">
        <v>32</v>
      </c>
      <c r="K402" s="1"/>
      <c r="L402" s="1" t="s">
        <v>252</v>
      </c>
      <c r="M402" s="1"/>
      <c r="N402" s="31">
        <v>7</v>
      </c>
      <c r="O402" s="31">
        <v>2</v>
      </c>
      <c r="P402" s="32">
        <v>2017</v>
      </c>
    </row>
    <row r="403" spans="1:16" x14ac:dyDescent="0.25">
      <c r="A403" s="1" t="s">
        <v>267</v>
      </c>
      <c r="B403" s="31">
        <v>41.4</v>
      </c>
      <c r="C403" s="1" t="s">
        <v>20</v>
      </c>
      <c r="D403" s="2">
        <v>42705</v>
      </c>
      <c r="E403" s="2">
        <v>42705</v>
      </c>
      <c r="F403" s="17">
        <v>1388800</v>
      </c>
      <c r="G403" s="17">
        <v>33545.89</v>
      </c>
      <c r="H403" s="31">
        <v>1</v>
      </c>
      <c r="I403" s="1" t="s">
        <v>21</v>
      </c>
      <c r="J403" s="1" t="s">
        <v>32</v>
      </c>
      <c r="K403" s="1"/>
      <c r="L403" s="1" t="s">
        <v>252</v>
      </c>
      <c r="M403" s="1"/>
      <c r="N403" s="31">
        <v>4</v>
      </c>
      <c r="O403" s="31">
        <v>2</v>
      </c>
      <c r="P403" s="32">
        <v>2016</v>
      </c>
    </row>
    <row r="404" spans="1:16" x14ac:dyDescent="0.25">
      <c r="A404" s="1" t="s">
        <v>267</v>
      </c>
      <c r="B404" s="31">
        <v>41.4</v>
      </c>
      <c r="C404" s="1" t="s">
        <v>20</v>
      </c>
      <c r="D404" s="2">
        <v>42705</v>
      </c>
      <c r="E404" s="2">
        <v>42705</v>
      </c>
      <c r="F404" s="17">
        <v>1388800</v>
      </c>
      <c r="G404" s="17">
        <v>33545.89</v>
      </c>
      <c r="H404" s="31">
        <v>1</v>
      </c>
      <c r="I404" s="1" t="s">
        <v>21</v>
      </c>
      <c r="J404" s="1" t="s">
        <v>32</v>
      </c>
      <c r="K404" s="1"/>
      <c r="L404" s="1" t="s">
        <v>252</v>
      </c>
      <c r="M404" s="1"/>
      <c r="N404" s="31">
        <v>4</v>
      </c>
      <c r="O404" s="31">
        <v>2</v>
      </c>
      <c r="P404" s="32">
        <v>2016</v>
      </c>
    </row>
    <row r="405" spans="1:16" x14ac:dyDescent="0.25">
      <c r="A405" s="1" t="s">
        <v>262</v>
      </c>
      <c r="B405" s="31">
        <v>29.9</v>
      </c>
      <c r="C405" s="1" t="s">
        <v>20</v>
      </c>
      <c r="D405" s="2">
        <v>42675</v>
      </c>
      <c r="E405" s="2">
        <v>42675</v>
      </c>
      <c r="F405" s="17">
        <v>1004640</v>
      </c>
      <c r="G405" s="17">
        <v>33600</v>
      </c>
      <c r="H405" s="31">
        <v>1</v>
      </c>
      <c r="I405" s="1" t="s">
        <v>21</v>
      </c>
      <c r="J405" s="1" t="s">
        <v>22</v>
      </c>
      <c r="K405" s="1"/>
      <c r="L405" s="1" t="s">
        <v>252</v>
      </c>
      <c r="M405" s="1"/>
      <c r="N405" s="31">
        <v>4</v>
      </c>
      <c r="O405" s="31">
        <v>1</v>
      </c>
      <c r="P405" s="32">
        <v>2016</v>
      </c>
    </row>
    <row r="406" spans="1:16" x14ac:dyDescent="0.25">
      <c r="A406" s="1" t="s">
        <v>271</v>
      </c>
      <c r="B406" s="31">
        <v>35.700000000000003</v>
      </c>
      <c r="C406" s="1" t="s">
        <v>20</v>
      </c>
      <c r="D406" s="2">
        <v>42705</v>
      </c>
      <c r="E406" s="2">
        <v>42705</v>
      </c>
      <c r="F406" s="17">
        <v>1200000</v>
      </c>
      <c r="G406" s="17">
        <v>33613.449999999997</v>
      </c>
      <c r="H406" s="31">
        <v>1</v>
      </c>
      <c r="I406" s="1" t="s">
        <v>21</v>
      </c>
      <c r="J406" s="1" t="s">
        <v>32</v>
      </c>
      <c r="K406" s="1"/>
      <c r="L406" s="1" t="s">
        <v>252</v>
      </c>
      <c r="M406" s="1" t="s">
        <v>257</v>
      </c>
      <c r="N406" s="31">
        <v>1</v>
      </c>
      <c r="O406" s="31">
        <v>2</v>
      </c>
      <c r="P406" s="32">
        <v>2005</v>
      </c>
    </row>
    <row r="407" spans="1:16" x14ac:dyDescent="0.25">
      <c r="A407" s="1" t="s">
        <v>271</v>
      </c>
      <c r="B407" s="31">
        <v>35.700000000000003</v>
      </c>
      <c r="C407" s="1" t="s">
        <v>20</v>
      </c>
      <c r="D407" s="2">
        <v>42705</v>
      </c>
      <c r="E407" s="2">
        <v>42705</v>
      </c>
      <c r="F407" s="17">
        <v>1200000</v>
      </c>
      <c r="G407" s="17">
        <v>33613.449999999997</v>
      </c>
      <c r="H407" s="31">
        <v>1</v>
      </c>
      <c r="I407" s="1" t="s">
        <v>21</v>
      </c>
      <c r="J407" s="1" t="s">
        <v>32</v>
      </c>
      <c r="K407" s="1"/>
      <c r="L407" s="1" t="s">
        <v>252</v>
      </c>
      <c r="M407" s="1" t="s">
        <v>257</v>
      </c>
      <c r="N407" s="31">
        <v>1</v>
      </c>
      <c r="O407" s="31">
        <v>2</v>
      </c>
      <c r="P407" s="32">
        <v>2005</v>
      </c>
    </row>
    <row r="408" spans="1:16" x14ac:dyDescent="0.25">
      <c r="A408" s="1" t="s">
        <v>263</v>
      </c>
      <c r="B408" s="31">
        <v>35.200000000000003</v>
      </c>
      <c r="C408" s="1" t="s">
        <v>20</v>
      </c>
      <c r="D408" s="2">
        <v>42644</v>
      </c>
      <c r="E408" s="2">
        <v>42644</v>
      </c>
      <c r="F408" s="17">
        <v>1190000</v>
      </c>
      <c r="G408" s="17">
        <v>33806.82</v>
      </c>
      <c r="H408" s="31">
        <v>1</v>
      </c>
      <c r="I408" s="1" t="s">
        <v>21</v>
      </c>
      <c r="J408" s="1" t="s">
        <v>32</v>
      </c>
      <c r="K408" s="1"/>
      <c r="L408" s="1" t="s">
        <v>252</v>
      </c>
      <c r="M408" s="1" t="s">
        <v>265</v>
      </c>
      <c r="N408" s="31">
        <v>9</v>
      </c>
      <c r="O408" s="31">
        <v>2</v>
      </c>
      <c r="P408" s="32">
        <v>1999</v>
      </c>
    </row>
    <row r="409" spans="1:16" x14ac:dyDescent="0.25">
      <c r="A409" s="1" t="s">
        <v>263</v>
      </c>
      <c r="B409" s="31">
        <v>35.200000000000003</v>
      </c>
      <c r="C409" s="1" t="s">
        <v>20</v>
      </c>
      <c r="D409" s="2">
        <v>42644</v>
      </c>
      <c r="E409" s="2">
        <v>42644</v>
      </c>
      <c r="F409" s="17">
        <v>1190000</v>
      </c>
      <c r="G409" s="17">
        <v>33806.82</v>
      </c>
      <c r="H409" s="31">
        <v>1</v>
      </c>
      <c r="I409" s="1" t="s">
        <v>21</v>
      </c>
      <c r="J409" s="1" t="s">
        <v>32</v>
      </c>
      <c r="K409" s="1"/>
      <c r="L409" s="1" t="s">
        <v>252</v>
      </c>
      <c r="M409" s="1" t="s">
        <v>265</v>
      </c>
      <c r="N409" s="31">
        <v>9</v>
      </c>
      <c r="O409" s="31">
        <v>2</v>
      </c>
      <c r="P409" s="32">
        <v>1999</v>
      </c>
    </row>
    <row r="410" spans="1:16" x14ac:dyDescent="0.25">
      <c r="A410" s="1" t="s">
        <v>267</v>
      </c>
      <c r="B410" s="31">
        <v>36.5</v>
      </c>
      <c r="C410" s="1" t="s">
        <v>20</v>
      </c>
      <c r="D410" s="2">
        <v>42705</v>
      </c>
      <c r="E410" s="2">
        <v>42705</v>
      </c>
      <c r="F410" s="17">
        <v>1239840</v>
      </c>
      <c r="G410" s="17">
        <v>33968.22</v>
      </c>
      <c r="H410" s="31">
        <v>1</v>
      </c>
      <c r="I410" s="1" t="s">
        <v>21</v>
      </c>
      <c r="J410" s="1" t="s">
        <v>32</v>
      </c>
      <c r="K410" s="1"/>
      <c r="L410" s="1" t="s">
        <v>252</v>
      </c>
      <c r="M410" s="1"/>
      <c r="N410" s="31">
        <v>8</v>
      </c>
      <c r="O410" s="31">
        <v>2</v>
      </c>
      <c r="P410" s="32">
        <v>2016</v>
      </c>
    </row>
    <row r="411" spans="1:16" x14ac:dyDescent="0.25">
      <c r="A411" s="1" t="s">
        <v>267</v>
      </c>
      <c r="B411" s="31">
        <v>36.5</v>
      </c>
      <c r="C411" s="1" t="s">
        <v>20</v>
      </c>
      <c r="D411" s="2">
        <v>42705</v>
      </c>
      <c r="E411" s="2">
        <v>42705</v>
      </c>
      <c r="F411" s="17">
        <v>1239840</v>
      </c>
      <c r="G411" s="17">
        <v>33968.22</v>
      </c>
      <c r="H411" s="31">
        <v>1</v>
      </c>
      <c r="I411" s="1" t="s">
        <v>21</v>
      </c>
      <c r="J411" s="1" t="s">
        <v>32</v>
      </c>
      <c r="K411" s="1"/>
      <c r="L411" s="1" t="s">
        <v>252</v>
      </c>
      <c r="M411" s="1"/>
      <c r="N411" s="31">
        <v>8</v>
      </c>
      <c r="O411" s="31">
        <v>2</v>
      </c>
      <c r="P411" s="32">
        <v>2016</v>
      </c>
    </row>
    <row r="412" spans="1:16" x14ac:dyDescent="0.25">
      <c r="A412" s="1" t="s">
        <v>272</v>
      </c>
      <c r="B412" s="31">
        <v>30.6</v>
      </c>
      <c r="C412" s="1" t="s">
        <v>20</v>
      </c>
      <c r="D412" s="2">
        <v>42644</v>
      </c>
      <c r="E412" s="2">
        <v>42644</v>
      </c>
      <c r="F412" s="17">
        <v>1040000</v>
      </c>
      <c r="G412" s="17">
        <v>33986.93</v>
      </c>
      <c r="H412" s="31">
        <v>1</v>
      </c>
      <c r="I412" s="1" t="s">
        <v>21</v>
      </c>
      <c r="J412" s="1" t="s">
        <v>32</v>
      </c>
      <c r="K412" s="1"/>
      <c r="L412" s="1" t="s">
        <v>252</v>
      </c>
      <c r="M412" s="1" t="s">
        <v>130</v>
      </c>
      <c r="N412" s="31">
        <v>1</v>
      </c>
      <c r="O412" s="31">
        <v>1</v>
      </c>
      <c r="P412" s="32">
        <v>2006</v>
      </c>
    </row>
    <row r="413" spans="1:16" x14ac:dyDescent="0.25">
      <c r="A413" s="1" t="s">
        <v>262</v>
      </c>
      <c r="B413" s="31">
        <v>52.7</v>
      </c>
      <c r="C413" s="1" t="s">
        <v>20</v>
      </c>
      <c r="D413" s="2">
        <v>42705</v>
      </c>
      <c r="E413" s="2">
        <v>42705</v>
      </c>
      <c r="F413" s="17">
        <v>1800000</v>
      </c>
      <c r="G413" s="17">
        <v>34155.599999999999</v>
      </c>
      <c r="H413" s="31">
        <v>1</v>
      </c>
      <c r="I413" s="1" t="s">
        <v>21</v>
      </c>
      <c r="J413" s="1" t="s">
        <v>32</v>
      </c>
      <c r="K413" s="1"/>
      <c r="L413" s="1" t="s">
        <v>252</v>
      </c>
      <c r="M413" s="1" t="s">
        <v>258</v>
      </c>
      <c r="N413" s="31">
        <v>8</v>
      </c>
      <c r="O413" s="31">
        <v>2</v>
      </c>
      <c r="P413" s="32">
        <v>2013</v>
      </c>
    </row>
    <row r="414" spans="1:16" x14ac:dyDescent="0.25">
      <c r="A414" s="1" t="s">
        <v>262</v>
      </c>
      <c r="B414" s="31">
        <v>52.7</v>
      </c>
      <c r="C414" s="1" t="s">
        <v>20</v>
      </c>
      <c r="D414" s="2">
        <v>42705</v>
      </c>
      <c r="E414" s="2">
        <v>42705</v>
      </c>
      <c r="F414" s="17">
        <v>1800000</v>
      </c>
      <c r="G414" s="17">
        <v>34155.599999999999</v>
      </c>
      <c r="H414" s="31">
        <v>1</v>
      </c>
      <c r="I414" s="1" t="s">
        <v>21</v>
      </c>
      <c r="J414" s="1" t="s">
        <v>32</v>
      </c>
      <c r="K414" s="1"/>
      <c r="L414" s="1" t="s">
        <v>252</v>
      </c>
      <c r="M414" s="1" t="s">
        <v>258</v>
      </c>
      <c r="N414" s="31">
        <v>8</v>
      </c>
      <c r="O414" s="31">
        <v>2</v>
      </c>
      <c r="P414" s="32">
        <v>2013</v>
      </c>
    </row>
    <row r="415" spans="1:16" x14ac:dyDescent="0.25">
      <c r="A415" s="1" t="s">
        <v>276</v>
      </c>
      <c r="B415" s="31">
        <v>38.4</v>
      </c>
      <c r="C415" s="1" t="s">
        <v>20</v>
      </c>
      <c r="D415" s="2">
        <v>42675</v>
      </c>
      <c r="E415" s="2">
        <v>42675</v>
      </c>
      <c r="F415" s="17">
        <v>1315000</v>
      </c>
      <c r="G415" s="17">
        <v>34244.79</v>
      </c>
      <c r="H415" s="31">
        <v>1</v>
      </c>
      <c r="I415" s="1" t="s">
        <v>21</v>
      </c>
      <c r="J415" s="1" t="s">
        <v>32</v>
      </c>
      <c r="K415" s="1"/>
      <c r="L415" s="1" t="s">
        <v>252</v>
      </c>
      <c r="M415" s="1" t="s">
        <v>258</v>
      </c>
      <c r="N415" s="31">
        <v>1</v>
      </c>
      <c r="O415" s="31">
        <v>1</v>
      </c>
      <c r="P415" s="32">
        <v>2011</v>
      </c>
    </row>
    <row r="416" spans="1:16" x14ac:dyDescent="0.25">
      <c r="A416" s="1" t="s">
        <v>261</v>
      </c>
      <c r="B416" s="31">
        <v>41.8</v>
      </c>
      <c r="C416" s="1" t="s">
        <v>20</v>
      </c>
      <c r="D416" s="2">
        <v>42767</v>
      </c>
      <c r="E416" s="2">
        <v>42767</v>
      </c>
      <c r="F416" s="17">
        <v>1432000</v>
      </c>
      <c r="G416" s="17">
        <v>34258.370000000003</v>
      </c>
      <c r="H416" s="31">
        <v>1</v>
      </c>
      <c r="I416" s="1" t="s">
        <v>21</v>
      </c>
      <c r="J416" s="1" t="s">
        <v>32</v>
      </c>
      <c r="K416" s="1"/>
      <c r="L416" s="1" t="s">
        <v>252</v>
      </c>
      <c r="M416" s="1"/>
      <c r="N416" s="31">
        <v>8</v>
      </c>
      <c r="O416" s="31">
        <v>1</v>
      </c>
      <c r="P416" s="32">
        <v>2016</v>
      </c>
    </row>
    <row r="417" spans="1:16" x14ac:dyDescent="0.25">
      <c r="A417" s="1" t="s">
        <v>264</v>
      </c>
      <c r="B417" s="31">
        <v>42.9</v>
      </c>
      <c r="C417" s="1" t="s">
        <v>20</v>
      </c>
      <c r="D417" s="2">
        <v>42644</v>
      </c>
      <c r="E417" s="2">
        <v>42644</v>
      </c>
      <c r="F417" s="17">
        <v>1470000</v>
      </c>
      <c r="G417" s="17">
        <v>34265.730000000003</v>
      </c>
      <c r="H417" s="31">
        <v>1</v>
      </c>
      <c r="I417" s="1" t="s">
        <v>21</v>
      </c>
      <c r="J417" s="1" t="s">
        <v>32</v>
      </c>
      <c r="K417" s="1"/>
      <c r="L417" s="1" t="s">
        <v>252</v>
      </c>
      <c r="M417" s="1" t="s">
        <v>258</v>
      </c>
      <c r="N417" s="31">
        <v>3</v>
      </c>
      <c r="O417" s="31">
        <v>2</v>
      </c>
      <c r="P417" s="32">
        <v>2013</v>
      </c>
    </row>
    <row r="418" spans="1:16" x14ac:dyDescent="0.25">
      <c r="A418" s="1" t="s">
        <v>264</v>
      </c>
      <c r="B418" s="31">
        <v>42.9</v>
      </c>
      <c r="C418" s="1" t="s">
        <v>20</v>
      </c>
      <c r="D418" s="2">
        <v>42644</v>
      </c>
      <c r="E418" s="2">
        <v>42644</v>
      </c>
      <c r="F418" s="17">
        <v>1470000</v>
      </c>
      <c r="G418" s="17">
        <v>34265.730000000003</v>
      </c>
      <c r="H418" s="31">
        <v>1</v>
      </c>
      <c r="I418" s="1" t="s">
        <v>21</v>
      </c>
      <c r="J418" s="1" t="s">
        <v>32</v>
      </c>
      <c r="K418" s="1"/>
      <c r="L418" s="1" t="s">
        <v>252</v>
      </c>
      <c r="M418" s="1" t="s">
        <v>258</v>
      </c>
      <c r="N418" s="31">
        <v>3</v>
      </c>
      <c r="O418" s="31">
        <v>2</v>
      </c>
      <c r="P418" s="32">
        <v>2013</v>
      </c>
    </row>
    <row r="419" spans="1:16" x14ac:dyDescent="0.25">
      <c r="A419" s="1" t="s">
        <v>259</v>
      </c>
      <c r="B419" s="31">
        <v>49.6</v>
      </c>
      <c r="C419" s="1" t="s">
        <v>20</v>
      </c>
      <c r="D419" s="2">
        <v>42614</v>
      </c>
      <c r="E419" s="2">
        <v>42644</v>
      </c>
      <c r="F419" s="17">
        <v>1700000</v>
      </c>
      <c r="G419" s="17">
        <v>34274.19</v>
      </c>
      <c r="H419" s="31">
        <v>1</v>
      </c>
      <c r="I419" s="1" t="s">
        <v>21</v>
      </c>
      <c r="J419" s="1" t="s">
        <v>32</v>
      </c>
      <c r="K419" s="1"/>
      <c r="L419" s="1" t="s">
        <v>252</v>
      </c>
      <c r="M419" s="1"/>
      <c r="N419" s="31">
        <v>3</v>
      </c>
      <c r="O419" s="31">
        <v>1</v>
      </c>
      <c r="P419" s="32">
        <v>2013</v>
      </c>
    </row>
    <row r="420" spans="1:16" x14ac:dyDescent="0.25">
      <c r="A420" s="1" t="s">
        <v>256</v>
      </c>
      <c r="B420" s="31">
        <v>35</v>
      </c>
      <c r="C420" s="1" t="s">
        <v>20</v>
      </c>
      <c r="D420" s="2">
        <v>42736</v>
      </c>
      <c r="E420" s="2">
        <v>42736</v>
      </c>
      <c r="F420" s="17">
        <v>1200000</v>
      </c>
      <c r="G420" s="17">
        <v>34285.71</v>
      </c>
      <c r="H420" s="31">
        <v>1</v>
      </c>
      <c r="I420" s="1" t="s">
        <v>21</v>
      </c>
      <c r="J420" s="1" t="s">
        <v>32</v>
      </c>
      <c r="K420" s="1"/>
      <c r="L420" s="1" t="s">
        <v>252</v>
      </c>
      <c r="M420" s="1" t="s">
        <v>254</v>
      </c>
      <c r="N420" s="31">
        <v>2</v>
      </c>
      <c r="O420" s="31">
        <v>2</v>
      </c>
      <c r="P420" s="32">
        <v>2010</v>
      </c>
    </row>
    <row r="421" spans="1:16" x14ac:dyDescent="0.25">
      <c r="A421" s="1" t="s">
        <v>256</v>
      </c>
      <c r="B421" s="31">
        <v>35</v>
      </c>
      <c r="C421" s="1" t="s">
        <v>20</v>
      </c>
      <c r="D421" s="2">
        <v>42736</v>
      </c>
      <c r="E421" s="2">
        <v>42736</v>
      </c>
      <c r="F421" s="17">
        <v>1200000</v>
      </c>
      <c r="G421" s="17">
        <v>34285.71</v>
      </c>
      <c r="H421" s="31">
        <v>1</v>
      </c>
      <c r="I421" s="1" t="s">
        <v>21</v>
      </c>
      <c r="J421" s="1" t="s">
        <v>32</v>
      </c>
      <c r="K421" s="1"/>
      <c r="L421" s="1" t="s">
        <v>252</v>
      </c>
      <c r="M421" s="1" t="s">
        <v>254</v>
      </c>
      <c r="N421" s="31">
        <v>2</v>
      </c>
      <c r="O421" s="31">
        <v>2</v>
      </c>
      <c r="P421" s="32">
        <v>2010</v>
      </c>
    </row>
    <row r="422" spans="1:16" x14ac:dyDescent="0.25">
      <c r="A422" s="1" t="s">
        <v>259</v>
      </c>
      <c r="B422" s="31">
        <v>51.7</v>
      </c>
      <c r="C422" s="1" t="s">
        <v>20</v>
      </c>
      <c r="D422" s="2">
        <v>42675</v>
      </c>
      <c r="E422" s="2">
        <v>42675</v>
      </c>
      <c r="F422" s="17">
        <v>1776000</v>
      </c>
      <c r="G422" s="17">
        <v>34352.03</v>
      </c>
      <c r="H422" s="31">
        <v>1</v>
      </c>
      <c r="I422" s="1" t="s">
        <v>21</v>
      </c>
      <c r="J422" s="1" t="s">
        <v>32</v>
      </c>
      <c r="K422" s="1"/>
      <c r="L422" s="1" t="s">
        <v>252</v>
      </c>
      <c r="M422" s="1"/>
      <c r="N422" s="31">
        <v>7</v>
      </c>
      <c r="O422" s="31">
        <v>2</v>
      </c>
      <c r="P422" s="32">
        <v>2013</v>
      </c>
    </row>
    <row r="423" spans="1:16" x14ac:dyDescent="0.25">
      <c r="A423" s="1" t="s">
        <v>259</v>
      </c>
      <c r="B423" s="31">
        <v>51.7</v>
      </c>
      <c r="C423" s="1" t="s">
        <v>20</v>
      </c>
      <c r="D423" s="2">
        <v>42675</v>
      </c>
      <c r="E423" s="2">
        <v>42675</v>
      </c>
      <c r="F423" s="17">
        <v>1776000</v>
      </c>
      <c r="G423" s="17">
        <v>34352.03</v>
      </c>
      <c r="H423" s="31">
        <v>1</v>
      </c>
      <c r="I423" s="1" t="s">
        <v>21</v>
      </c>
      <c r="J423" s="1" t="s">
        <v>32</v>
      </c>
      <c r="K423" s="1"/>
      <c r="L423" s="1" t="s">
        <v>252</v>
      </c>
      <c r="M423" s="1"/>
      <c r="N423" s="31">
        <v>7</v>
      </c>
      <c r="O423" s="31">
        <v>2</v>
      </c>
      <c r="P423" s="32">
        <v>2013</v>
      </c>
    </row>
    <row r="424" spans="1:16" x14ac:dyDescent="0.25">
      <c r="A424" s="1" t="s">
        <v>267</v>
      </c>
      <c r="B424" s="31">
        <v>38.200000000000003</v>
      </c>
      <c r="C424" s="1" t="s">
        <v>20</v>
      </c>
      <c r="D424" s="2">
        <v>42736</v>
      </c>
      <c r="E424" s="2">
        <v>42767</v>
      </c>
      <c r="F424" s="17">
        <v>1324000</v>
      </c>
      <c r="G424" s="17">
        <v>34659.69</v>
      </c>
      <c r="H424" s="31">
        <v>1</v>
      </c>
      <c r="I424" s="1" t="s">
        <v>21</v>
      </c>
      <c r="J424" s="1" t="s">
        <v>22</v>
      </c>
      <c r="K424" s="1"/>
      <c r="L424" s="1" t="s">
        <v>252</v>
      </c>
      <c r="M424" s="1"/>
      <c r="N424" s="31">
        <v>7</v>
      </c>
      <c r="O424" s="31">
        <v>2</v>
      </c>
      <c r="P424" s="32">
        <v>2016</v>
      </c>
    </row>
    <row r="425" spans="1:16" x14ac:dyDescent="0.25">
      <c r="A425" s="1" t="s">
        <v>267</v>
      </c>
      <c r="B425" s="31">
        <v>38.200000000000003</v>
      </c>
      <c r="C425" s="1" t="s">
        <v>20</v>
      </c>
      <c r="D425" s="2">
        <v>42736</v>
      </c>
      <c r="E425" s="2">
        <v>42767</v>
      </c>
      <c r="F425" s="17">
        <v>1324000</v>
      </c>
      <c r="G425" s="17">
        <v>34659.69</v>
      </c>
      <c r="H425" s="31">
        <v>1</v>
      </c>
      <c r="I425" s="1" t="s">
        <v>21</v>
      </c>
      <c r="J425" s="1" t="s">
        <v>22</v>
      </c>
      <c r="K425" s="1"/>
      <c r="L425" s="1" t="s">
        <v>252</v>
      </c>
      <c r="M425" s="1"/>
      <c r="N425" s="31">
        <v>7</v>
      </c>
      <c r="O425" s="31">
        <v>2</v>
      </c>
      <c r="P425" s="32">
        <v>2016</v>
      </c>
    </row>
    <row r="426" spans="1:16" x14ac:dyDescent="0.25">
      <c r="A426" s="1" t="s">
        <v>262</v>
      </c>
      <c r="B426" s="31">
        <v>35.1</v>
      </c>
      <c r="C426" s="1" t="s">
        <v>20</v>
      </c>
      <c r="D426" s="2">
        <v>42705</v>
      </c>
      <c r="E426" s="2">
        <v>42705</v>
      </c>
      <c r="F426" s="17">
        <v>1220000</v>
      </c>
      <c r="G426" s="17">
        <v>34757.83</v>
      </c>
      <c r="H426" s="31">
        <v>1</v>
      </c>
      <c r="I426" s="1" t="s">
        <v>21</v>
      </c>
      <c r="J426" s="1" t="s">
        <v>32</v>
      </c>
      <c r="K426" s="1"/>
      <c r="L426" s="1" t="s">
        <v>252</v>
      </c>
      <c r="M426" s="1" t="s">
        <v>269</v>
      </c>
      <c r="N426" s="31">
        <v>2</v>
      </c>
      <c r="O426" s="31">
        <v>2</v>
      </c>
      <c r="P426" s="32">
        <v>2004</v>
      </c>
    </row>
    <row r="427" spans="1:16" x14ac:dyDescent="0.25">
      <c r="A427" s="1" t="s">
        <v>262</v>
      </c>
      <c r="B427" s="31">
        <v>35.1</v>
      </c>
      <c r="C427" s="1" t="s">
        <v>20</v>
      </c>
      <c r="D427" s="2">
        <v>42705</v>
      </c>
      <c r="E427" s="2">
        <v>42705</v>
      </c>
      <c r="F427" s="17">
        <v>1220000</v>
      </c>
      <c r="G427" s="17">
        <v>34757.83</v>
      </c>
      <c r="H427" s="31">
        <v>1</v>
      </c>
      <c r="I427" s="1" t="s">
        <v>21</v>
      </c>
      <c r="J427" s="1" t="s">
        <v>32</v>
      </c>
      <c r="K427" s="1"/>
      <c r="L427" s="1" t="s">
        <v>252</v>
      </c>
      <c r="M427" s="1" t="s">
        <v>269</v>
      </c>
      <c r="N427" s="31">
        <v>2</v>
      </c>
      <c r="O427" s="31">
        <v>2</v>
      </c>
      <c r="P427" s="32">
        <v>2004</v>
      </c>
    </row>
    <row r="428" spans="1:16" x14ac:dyDescent="0.25">
      <c r="A428" s="1" t="s">
        <v>256</v>
      </c>
      <c r="B428" s="31">
        <v>48.8</v>
      </c>
      <c r="C428" s="1" t="s">
        <v>20</v>
      </c>
      <c r="D428" s="2">
        <v>42675</v>
      </c>
      <c r="E428" s="2">
        <v>42675</v>
      </c>
      <c r="F428" s="17">
        <v>1700000</v>
      </c>
      <c r="G428" s="17">
        <v>34836.07</v>
      </c>
      <c r="H428" s="31">
        <v>1</v>
      </c>
      <c r="I428" s="1" t="s">
        <v>21</v>
      </c>
      <c r="J428" s="1" t="s">
        <v>32</v>
      </c>
      <c r="K428" s="1"/>
      <c r="L428" s="1" t="s">
        <v>252</v>
      </c>
      <c r="M428" s="1" t="s">
        <v>257</v>
      </c>
      <c r="N428" s="31">
        <v>5</v>
      </c>
      <c r="O428" s="31">
        <v>2</v>
      </c>
      <c r="P428" s="32">
        <v>2006</v>
      </c>
    </row>
    <row r="429" spans="1:16" x14ac:dyDescent="0.25">
      <c r="A429" s="1" t="s">
        <v>256</v>
      </c>
      <c r="B429" s="31">
        <v>48.8</v>
      </c>
      <c r="C429" s="1" t="s">
        <v>20</v>
      </c>
      <c r="D429" s="2">
        <v>42675</v>
      </c>
      <c r="E429" s="2">
        <v>42675</v>
      </c>
      <c r="F429" s="17">
        <v>1700000</v>
      </c>
      <c r="G429" s="17">
        <v>34836.07</v>
      </c>
      <c r="H429" s="31">
        <v>1</v>
      </c>
      <c r="I429" s="1" t="s">
        <v>21</v>
      </c>
      <c r="J429" s="1" t="s">
        <v>32</v>
      </c>
      <c r="K429" s="1"/>
      <c r="L429" s="1" t="s">
        <v>252</v>
      </c>
      <c r="M429" s="1" t="s">
        <v>257</v>
      </c>
      <c r="N429" s="31">
        <v>5</v>
      </c>
      <c r="O429" s="31">
        <v>2</v>
      </c>
      <c r="P429" s="32">
        <v>2006</v>
      </c>
    </row>
    <row r="430" spans="1:16" x14ac:dyDescent="0.25">
      <c r="A430" s="1" t="s">
        <v>276</v>
      </c>
      <c r="B430" s="31">
        <v>37.200000000000003</v>
      </c>
      <c r="C430" s="1" t="s">
        <v>20</v>
      </c>
      <c r="D430" s="2">
        <v>42767</v>
      </c>
      <c r="E430" s="2">
        <v>42795</v>
      </c>
      <c r="F430" s="17">
        <v>1300000</v>
      </c>
      <c r="G430" s="17">
        <v>34946.239999999998</v>
      </c>
      <c r="H430" s="31">
        <v>1</v>
      </c>
      <c r="I430" s="1" t="s">
        <v>21</v>
      </c>
      <c r="J430" s="1" t="s">
        <v>22</v>
      </c>
      <c r="K430" s="1"/>
      <c r="L430" s="1" t="s">
        <v>252</v>
      </c>
      <c r="M430" s="1" t="s">
        <v>258</v>
      </c>
      <c r="N430" s="31">
        <v>7</v>
      </c>
      <c r="O430" s="31">
        <v>1</v>
      </c>
      <c r="P430" s="32">
        <v>2015</v>
      </c>
    </row>
    <row r="431" spans="1:16" x14ac:dyDescent="0.25">
      <c r="A431" s="1" t="s">
        <v>272</v>
      </c>
      <c r="B431" s="31">
        <v>42.9</v>
      </c>
      <c r="C431" s="1" t="s">
        <v>20</v>
      </c>
      <c r="D431" s="2">
        <v>42644</v>
      </c>
      <c r="E431" s="2">
        <v>42644</v>
      </c>
      <c r="F431" s="17">
        <v>1500000</v>
      </c>
      <c r="G431" s="17">
        <v>34965.040000000001</v>
      </c>
      <c r="H431" s="31">
        <v>1</v>
      </c>
      <c r="I431" s="1" t="s">
        <v>21</v>
      </c>
      <c r="J431" s="1" t="s">
        <v>32</v>
      </c>
      <c r="K431" s="1"/>
      <c r="L431" s="1" t="s">
        <v>252</v>
      </c>
      <c r="M431" s="1" t="s">
        <v>130</v>
      </c>
      <c r="N431" s="31">
        <v>2</v>
      </c>
      <c r="O431" s="31">
        <v>1</v>
      </c>
      <c r="P431" s="32">
        <v>2007</v>
      </c>
    </row>
    <row r="432" spans="1:16" x14ac:dyDescent="0.25">
      <c r="A432" s="1" t="s">
        <v>253</v>
      </c>
      <c r="B432" s="31">
        <v>41</v>
      </c>
      <c r="C432" s="1" t="s">
        <v>20</v>
      </c>
      <c r="D432" s="2">
        <v>42644</v>
      </c>
      <c r="E432" s="2">
        <v>42644</v>
      </c>
      <c r="F432" s="17">
        <v>1438400</v>
      </c>
      <c r="G432" s="17">
        <v>35082.93</v>
      </c>
      <c r="H432" s="31">
        <v>1</v>
      </c>
      <c r="I432" s="1" t="s">
        <v>21</v>
      </c>
      <c r="J432" s="1" t="s">
        <v>32</v>
      </c>
      <c r="K432" s="1"/>
      <c r="L432" s="1" t="s">
        <v>252</v>
      </c>
      <c r="M432" s="1"/>
      <c r="N432" s="31">
        <v>8</v>
      </c>
      <c r="O432" s="31">
        <v>2</v>
      </c>
      <c r="P432" s="32">
        <v>2015</v>
      </c>
    </row>
    <row r="433" spans="1:16" x14ac:dyDescent="0.25">
      <c r="A433" s="1" t="s">
        <v>253</v>
      </c>
      <c r="B433" s="31">
        <v>41</v>
      </c>
      <c r="C433" s="1" t="s">
        <v>20</v>
      </c>
      <c r="D433" s="2">
        <v>42644</v>
      </c>
      <c r="E433" s="2">
        <v>42644</v>
      </c>
      <c r="F433" s="17">
        <v>1438400</v>
      </c>
      <c r="G433" s="17">
        <v>35082.93</v>
      </c>
      <c r="H433" s="31">
        <v>1</v>
      </c>
      <c r="I433" s="1" t="s">
        <v>21</v>
      </c>
      <c r="J433" s="1" t="s">
        <v>32</v>
      </c>
      <c r="K433" s="1"/>
      <c r="L433" s="1" t="s">
        <v>252</v>
      </c>
      <c r="M433" s="1"/>
      <c r="N433" s="31">
        <v>8</v>
      </c>
      <c r="O433" s="31">
        <v>2</v>
      </c>
      <c r="P433" s="32">
        <v>2015</v>
      </c>
    </row>
    <row r="434" spans="1:16" x14ac:dyDescent="0.25">
      <c r="A434" s="1" t="s">
        <v>262</v>
      </c>
      <c r="B434" s="31">
        <v>30.7</v>
      </c>
      <c r="C434" s="1" t="s">
        <v>20</v>
      </c>
      <c r="D434" s="2">
        <v>42705</v>
      </c>
      <c r="E434" s="2">
        <v>42705</v>
      </c>
      <c r="F434" s="17">
        <v>1080000</v>
      </c>
      <c r="G434" s="17">
        <v>35179.15</v>
      </c>
      <c r="H434" s="31">
        <v>1</v>
      </c>
      <c r="I434" s="1" t="s">
        <v>21</v>
      </c>
      <c r="J434" s="1" t="s">
        <v>32</v>
      </c>
      <c r="K434" s="1"/>
      <c r="L434" s="1" t="s">
        <v>252</v>
      </c>
      <c r="M434" s="1" t="s">
        <v>258</v>
      </c>
      <c r="N434" s="31">
        <v>7</v>
      </c>
      <c r="O434" s="31">
        <v>1</v>
      </c>
      <c r="P434" s="32">
        <v>2013</v>
      </c>
    </row>
    <row r="435" spans="1:16" x14ac:dyDescent="0.25">
      <c r="A435" s="1" t="s">
        <v>270</v>
      </c>
      <c r="B435" s="31">
        <v>66.3</v>
      </c>
      <c r="C435" s="1" t="s">
        <v>20</v>
      </c>
      <c r="D435" s="2">
        <v>42675</v>
      </c>
      <c r="E435" s="2">
        <v>42675</v>
      </c>
      <c r="F435" s="17">
        <v>2333026</v>
      </c>
      <c r="G435" s="17">
        <v>35188.93</v>
      </c>
      <c r="H435" s="31">
        <v>1</v>
      </c>
      <c r="I435" s="1" t="s">
        <v>21</v>
      </c>
      <c r="J435" s="1" t="s">
        <v>22</v>
      </c>
      <c r="K435" s="1"/>
      <c r="L435" s="1" t="s">
        <v>252</v>
      </c>
      <c r="M435" s="1" t="s">
        <v>130</v>
      </c>
      <c r="N435" s="31">
        <v>1</v>
      </c>
      <c r="O435" s="31">
        <v>2</v>
      </c>
      <c r="P435" s="32">
        <v>2016</v>
      </c>
    </row>
    <row r="436" spans="1:16" x14ac:dyDescent="0.25">
      <c r="A436" s="1" t="s">
        <v>270</v>
      </c>
      <c r="B436" s="31">
        <v>66.3</v>
      </c>
      <c r="C436" s="1" t="s">
        <v>20</v>
      </c>
      <c r="D436" s="2">
        <v>42675</v>
      </c>
      <c r="E436" s="2">
        <v>42675</v>
      </c>
      <c r="F436" s="17">
        <v>2333026</v>
      </c>
      <c r="G436" s="17">
        <v>35188.93</v>
      </c>
      <c r="H436" s="31">
        <v>1</v>
      </c>
      <c r="I436" s="1" t="s">
        <v>21</v>
      </c>
      <c r="J436" s="1" t="s">
        <v>22</v>
      </c>
      <c r="K436" s="1"/>
      <c r="L436" s="1" t="s">
        <v>252</v>
      </c>
      <c r="M436" s="1" t="s">
        <v>130</v>
      </c>
      <c r="N436" s="31">
        <v>1</v>
      </c>
      <c r="O436" s="31">
        <v>2</v>
      </c>
      <c r="P436" s="32">
        <v>2016</v>
      </c>
    </row>
    <row r="437" spans="1:16" x14ac:dyDescent="0.25">
      <c r="A437" s="1" t="s">
        <v>253</v>
      </c>
      <c r="B437" s="31">
        <v>42</v>
      </c>
      <c r="C437" s="1" t="s">
        <v>20</v>
      </c>
      <c r="D437" s="2">
        <v>42767</v>
      </c>
      <c r="E437" s="2">
        <v>42767</v>
      </c>
      <c r="F437" s="17">
        <v>1479000</v>
      </c>
      <c r="G437" s="17">
        <v>35214.29</v>
      </c>
      <c r="H437" s="31">
        <v>1</v>
      </c>
      <c r="I437" s="1" t="s">
        <v>21</v>
      </c>
      <c r="J437" s="1" t="s">
        <v>32</v>
      </c>
      <c r="K437" s="1"/>
      <c r="L437" s="1" t="s">
        <v>252</v>
      </c>
      <c r="M437" s="1"/>
      <c r="N437" s="31">
        <v>7</v>
      </c>
      <c r="O437" s="31">
        <v>2</v>
      </c>
      <c r="P437" s="32">
        <v>2015</v>
      </c>
    </row>
    <row r="438" spans="1:16" x14ac:dyDescent="0.25">
      <c r="A438" s="1" t="s">
        <v>272</v>
      </c>
      <c r="B438" s="31">
        <v>66.5</v>
      </c>
      <c r="C438" s="1" t="s">
        <v>20</v>
      </c>
      <c r="D438" s="2">
        <v>42614</v>
      </c>
      <c r="E438" s="2">
        <v>42675</v>
      </c>
      <c r="F438" s="17">
        <v>2342116.7000000002</v>
      </c>
      <c r="G438" s="17">
        <v>35219.800000000003</v>
      </c>
      <c r="H438" s="31">
        <v>1</v>
      </c>
      <c r="I438" s="1" t="s">
        <v>21</v>
      </c>
      <c r="J438" s="1" t="s">
        <v>280</v>
      </c>
      <c r="K438" s="1"/>
      <c r="L438" s="1" t="s">
        <v>252</v>
      </c>
      <c r="M438" s="1" t="s">
        <v>269</v>
      </c>
      <c r="N438" s="31">
        <v>1</v>
      </c>
      <c r="O438" s="31">
        <v>1</v>
      </c>
      <c r="P438" s="32">
        <v>2008</v>
      </c>
    </row>
    <row r="439" spans="1:16" x14ac:dyDescent="0.25">
      <c r="A439" s="1" t="s">
        <v>253</v>
      </c>
      <c r="B439" s="31">
        <v>42.5</v>
      </c>
      <c r="C439" s="1" t="s">
        <v>20</v>
      </c>
      <c r="D439" s="2">
        <v>42767</v>
      </c>
      <c r="E439" s="2">
        <v>42767</v>
      </c>
      <c r="F439" s="17">
        <v>1503000</v>
      </c>
      <c r="G439" s="17">
        <v>35364.71</v>
      </c>
      <c r="H439" s="31">
        <v>1</v>
      </c>
      <c r="I439" s="1" t="s">
        <v>21</v>
      </c>
      <c r="J439" s="1" t="s">
        <v>32</v>
      </c>
      <c r="K439" s="1"/>
      <c r="L439" s="1" t="s">
        <v>252</v>
      </c>
      <c r="M439" s="1" t="s">
        <v>258</v>
      </c>
      <c r="N439" s="31">
        <v>3</v>
      </c>
      <c r="O439" s="31">
        <v>2</v>
      </c>
      <c r="P439" s="32">
        <v>2006</v>
      </c>
    </row>
    <row r="440" spans="1:16" x14ac:dyDescent="0.25">
      <c r="A440" s="1" t="s">
        <v>262</v>
      </c>
      <c r="B440" s="31">
        <v>55.9</v>
      </c>
      <c r="C440" s="1" t="s">
        <v>20</v>
      </c>
      <c r="D440" s="2">
        <v>42614</v>
      </c>
      <c r="E440" s="2">
        <v>42644</v>
      </c>
      <c r="F440" s="17">
        <v>2000000</v>
      </c>
      <c r="G440" s="17">
        <v>35778.18</v>
      </c>
      <c r="H440" s="31">
        <v>1</v>
      </c>
      <c r="I440" s="1" t="s">
        <v>21</v>
      </c>
      <c r="J440" s="1" t="s">
        <v>32</v>
      </c>
      <c r="K440" s="1"/>
      <c r="L440" s="1" t="s">
        <v>252</v>
      </c>
      <c r="M440" s="1" t="s">
        <v>258</v>
      </c>
      <c r="N440" s="31">
        <v>5</v>
      </c>
      <c r="O440" s="31">
        <v>1</v>
      </c>
      <c r="P440" s="32">
        <v>2011</v>
      </c>
    </row>
    <row r="441" spans="1:16" x14ac:dyDescent="0.25">
      <c r="A441" s="1" t="s">
        <v>276</v>
      </c>
      <c r="B441" s="31">
        <v>38</v>
      </c>
      <c r="C441" s="1" t="s">
        <v>20</v>
      </c>
      <c r="D441" s="2">
        <v>42644</v>
      </c>
      <c r="E441" s="2">
        <v>42675</v>
      </c>
      <c r="F441" s="17">
        <v>1360000</v>
      </c>
      <c r="G441" s="17">
        <v>35789.47</v>
      </c>
      <c r="H441" s="31">
        <v>1</v>
      </c>
      <c r="I441" s="1" t="s">
        <v>21</v>
      </c>
      <c r="J441" s="1" t="s">
        <v>22</v>
      </c>
      <c r="K441" s="1"/>
      <c r="L441" s="1" t="s">
        <v>252</v>
      </c>
      <c r="M441" s="1"/>
      <c r="N441" s="31">
        <v>6</v>
      </c>
      <c r="O441" s="31">
        <v>2</v>
      </c>
      <c r="P441" s="32">
        <v>2016</v>
      </c>
    </row>
    <row r="442" spans="1:16" x14ac:dyDescent="0.25">
      <c r="A442" s="1" t="s">
        <v>276</v>
      </c>
      <c r="B442" s="31">
        <v>38</v>
      </c>
      <c r="C442" s="1" t="s">
        <v>20</v>
      </c>
      <c r="D442" s="2">
        <v>42644</v>
      </c>
      <c r="E442" s="2">
        <v>42675</v>
      </c>
      <c r="F442" s="17">
        <v>1360000</v>
      </c>
      <c r="G442" s="17">
        <v>35789.47</v>
      </c>
      <c r="H442" s="31">
        <v>1</v>
      </c>
      <c r="I442" s="1" t="s">
        <v>21</v>
      </c>
      <c r="J442" s="1" t="s">
        <v>22</v>
      </c>
      <c r="K442" s="1"/>
      <c r="L442" s="1" t="s">
        <v>252</v>
      </c>
      <c r="M442" s="1"/>
      <c r="N442" s="31">
        <v>6</v>
      </c>
      <c r="O442" s="31">
        <v>2</v>
      </c>
      <c r="P442" s="32">
        <v>2016</v>
      </c>
    </row>
    <row r="443" spans="1:16" x14ac:dyDescent="0.25">
      <c r="A443" s="1" t="s">
        <v>266</v>
      </c>
      <c r="B443" s="31">
        <v>34.299999999999997</v>
      </c>
      <c r="C443" s="1" t="s">
        <v>20</v>
      </c>
      <c r="D443" s="2">
        <v>42705</v>
      </c>
      <c r="E443" s="2">
        <v>42705</v>
      </c>
      <c r="F443" s="17">
        <v>1230000</v>
      </c>
      <c r="G443" s="17">
        <v>35860.06</v>
      </c>
      <c r="H443" s="31">
        <v>1</v>
      </c>
      <c r="I443" s="1" t="s">
        <v>21</v>
      </c>
      <c r="J443" s="1" t="s">
        <v>32</v>
      </c>
      <c r="K443" s="1"/>
      <c r="L443" s="1" t="s">
        <v>252</v>
      </c>
      <c r="M443" s="1" t="s">
        <v>130</v>
      </c>
      <c r="N443" s="31">
        <v>4</v>
      </c>
      <c r="O443" s="31">
        <v>2</v>
      </c>
      <c r="P443" s="32">
        <v>2001</v>
      </c>
    </row>
    <row r="444" spans="1:16" x14ac:dyDescent="0.25">
      <c r="A444" s="1" t="s">
        <v>266</v>
      </c>
      <c r="B444" s="31">
        <v>34.299999999999997</v>
      </c>
      <c r="C444" s="1" t="s">
        <v>20</v>
      </c>
      <c r="D444" s="2">
        <v>42705</v>
      </c>
      <c r="E444" s="2">
        <v>42705</v>
      </c>
      <c r="F444" s="17">
        <v>1230000</v>
      </c>
      <c r="G444" s="17">
        <v>35860.06</v>
      </c>
      <c r="H444" s="31">
        <v>1</v>
      </c>
      <c r="I444" s="1" t="s">
        <v>21</v>
      </c>
      <c r="J444" s="1" t="s">
        <v>32</v>
      </c>
      <c r="K444" s="1"/>
      <c r="L444" s="1" t="s">
        <v>252</v>
      </c>
      <c r="M444" s="1" t="s">
        <v>130</v>
      </c>
      <c r="N444" s="31">
        <v>4</v>
      </c>
      <c r="O444" s="31">
        <v>2</v>
      </c>
      <c r="P444" s="32">
        <v>2001</v>
      </c>
    </row>
    <row r="445" spans="1:16" x14ac:dyDescent="0.25">
      <c r="A445" s="1" t="s">
        <v>277</v>
      </c>
      <c r="B445" s="31">
        <v>41.7</v>
      </c>
      <c r="C445" s="1" t="s">
        <v>20</v>
      </c>
      <c r="D445" s="2">
        <v>42736</v>
      </c>
      <c r="E445" s="2">
        <v>42736</v>
      </c>
      <c r="F445" s="17">
        <v>1500000</v>
      </c>
      <c r="G445" s="17">
        <v>35971.22</v>
      </c>
      <c r="H445" s="31">
        <v>1</v>
      </c>
      <c r="I445" s="1" t="s">
        <v>21</v>
      </c>
      <c r="J445" s="1" t="s">
        <v>32</v>
      </c>
      <c r="K445" s="1"/>
      <c r="L445" s="1" t="s">
        <v>252</v>
      </c>
      <c r="M445" s="1"/>
      <c r="N445" s="31">
        <v>3</v>
      </c>
      <c r="O445" s="31">
        <v>2</v>
      </c>
      <c r="P445" s="32">
        <v>2002</v>
      </c>
    </row>
    <row r="446" spans="1:16" x14ac:dyDescent="0.25">
      <c r="A446" s="1" t="s">
        <v>277</v>
      </c>
      <c r="B446" s="31">
        <v>41.7</v>
      </c>
      <c r="C446" s="1" t="s">
        <v>20</v>
      </c>
      <c r="D446" s="2">
        <v>42736</v>
      </c>
      <c r="E446" s="2">
        <v>42736</v>
      </c>
      <c r="F446" s="17">
        <v>1500000</v>
      </c>
      <c r="G446" s="17">
        <v>35971.22</v>
      </c>
      <c r="H446" s="31">
        <v>1</v>
      </c>
      <c r="I446" s="1" t="s">
        <v>21</v>
      </c>
      <c r="J446" s="1" t="s">
        <v>32</v>
      </c>
      <c r="K446" s="1"/>
      <c r="L446" s="1" t="s">
        <v>252</v>
      </c>
      <c r="M446" s="1"/>
      <c r="N446" s="31">
        <v>3</v>
      </c>
      <c r="O446" s="31">
        <v>2</v>
      </c>
      <c r="P446" s="32">
        <v>2002</v>
      </c>
    </row>
    <row r="447" spans="1:16" x14ac:dyDescent="0.25">
      <c r="A447" s="1" t="s">
        <v>261</v>
      </c>
      <c r="B447" s="31">
        <v>42.3</v>
      </c>
      <c r="C447" s="1" t="s">
        <v>20</v>
      </c>
      <c r="D447" s="2">
        <v>42644</v>
      </c>
      <c r="E447" s="2">
        <v>42675</v>
      </c>
      <c r="F447" s="17">
        <v>1522500</v>
      </c>
      <c r="G447" s="17">
        <v>35992.910000000003</v>
      </c>
      <c r="H447" s="31">
        <v>1</v>
      </c>
      <c r="I447" s="1" t="s">
        <v>21</v>
      </c>
      <c r="J447" s="1" t="s">
        <v>22</v>
      </c>
      <c r="K447" s="1"/>
      <c r="L447" s="1" t="s">
        <v>252</v>
      </c>
      <c r="M447" s="1"/>
      <c r="N447" s="31">
        <v>7</v>
      </c>
      <c r="O447" s="31">
        <v>2</v>
      </c>
      <c r="P447" s="32">
        <v>2016</v>
      </c>
    </row>
    <row r="448" spans="1:16" x14ac:dyDescent="0.25">
      <c r="A448" s="1" t="s">
        <v>261</v>
      </c>
      <c r="B448" s="31">
        <v>42.3</v>
      </c>
      <c r="C448" s="1" t="s">
        <v>20</v>
      </c>
      <c r="D448" s="2">
        <v>42644</v>
      </c>
      <c r="E448" s="2">
        <v>42675</v>
      </c>
      <c r="F448" s="17">
        <v>1522500</v>
      </c>
      <c r="G448" s="17">
        <v>35992.910000000003</v>
      </c>
      <c r="H448" s="31">
        <v>1</v>
      </c>
      <c r="I448" s="1" t="s">
        <v>21</v>
      </c>
      <c r="J448" s="1" t="s">
        <v>22</v>
      </c>
      <c r="K448" s="1"/>
      <c r="L448" s="1" t="s">
        <v>252</v>
      </c>
      <c r="M448" s="1"/>
      <c r="N448" s="31">
        <v>7</v>
      </c>
      <c r="O448" s="31">
        <v>2</v>
      </c>
      <c r="P448" s="32">
        <v>2016</v>
      </c>
    </row>
    <row r="449" spans="1:16" x14ac:dyDescent="0.25">
      <c r="A449" s="1" t="s">
        <v>259</v>
      </c>
      <c r="B449" s="31">
        <v>34.200000000000003</v>
      </c>
      <c r="C449" s="1" t="s">
        <v>20</v>
      </c>
      <c r="D449" s="2">
        <v>42644</v>
      </c>
      <c r="E449" s="2">
        <v>42675</v>
      </c>
      <c r="F449" s="17">
        <v>1235000</v>
      </c>
      <c r="G449" s="17">
        <v>36111.11</v>
      </c>
      <c r="H449" s="31">
        <v>1</v>
      </c>
      <c r="I449" s="1" t="s">
        <v>21</v>
      </c>
      <c r="J449" s="1" t="s">
        <v>32</v>
      </c>
      <c r="K449" s="1"/>
      <c r="L449" s="1" t="s">
        <v>252</v>
      </c>
      <c r="M449" s="1"/>
      <c r="N449" s="31">
        <v>7</v>
      </c>
      <c r="O449" s="31">
        <v>1</v>
      </c>
      <c r="P449" s="32">
        <v>2015</v>
      </c>
    </row>
    <row r="450" spans="1:16" x14ac:dyDescent="0.25">
      <c r="A450" s="1" t="s">
        <v>261</v>
      </c>
      <c r="B450" s="31">
        <v>35.299999999999997</v>
      </c>
      <c r="C450" s="1" t="s">
        <v>20</v>
      </c>
      <c r="D450" s="2">
        <v>42767</v>
      </c>
      <c r="E450" s="2">
        <v>42795</v>
      </c>
      <c r="F450" s="17">
        <v>1291500</v>
      </c>
      <c r="G450" s="17">
        <v>36586.400000000001</v>
      </c>
      <c r="H450" s="31">
        <v>1</v>
      </c>
      <c r="I450" s="1" t="s">
        <v>21</v>
      </c>
      <c r="J450" s="1" t="s">
        <v>22</v>
      </c>
      <c r="K450" s="1"/>
      <c r="L450" s="1" t="s">
        <v>252</v>
      </c>
      <c r="M450" s="1"/>
      <c r="N450" s="31">
        <v>6</v>
      </c>
      <c r="O450" s="31">
        <v>1</v>
      </c>
      <c r="P450" s="32">
        <v>2017</v>
      </c>
    </row>
    <row r="451" spans="1:16" x14ac:dyDescent="0.25">
      <c r="A451" s="1" t="s">
        <v>256</v>
      </c>
      <c r="B451" s="31">
        <v>63.1</v>
      </c>
      <c r="C451" s="1" t="s">
        <v>20</v>
      </c>
      <c r="D451" s="2">
        <v>42736</v>
      </c>
      <c r="E451" s="2">
        <v>42736</v>
      </c>
      <c r="F451" s="17">
        <v>2329026</v>
      </c>
      <c r="G451" s="17">
        <v>36910.080000000002</v>
      </c>
      <c r="H451" s="31">
        <v>1</v>
      </c>
      <c r="I451" s="1" t="s">
        <v>21</v>
      </c>
      <c r="J451" s="1" t="s">
        <v>32</v>
      </c>
      <c r="K451" s="1"/>
      <c r="L451" s="1" t="s">
        <v>252</v>
      </c>
      <c r="M451" s="1"/>
      <c r="N451" s="31">
        <v>9</v>
      </c>
      <c r="O451" s="31">
        <v>2</v>
      </c>
      <c r="P451" s="32">
        <v>2009</v>
      </c>
    </row>
    <row r="452" spans="1:16" x14ac:dyDescent="0.25">
      <c r="A452" s="1" t="s">
        <v>256</v>
      </c>
      <c r="B452" s="31">
        <v>63.1</v>
      </c>
      <c r="C452" s="1" t="s">
        <v>20</v>
      </c>
      <c r="D452" s="2">
        <v>42736</v>
      </c>
      <c r="E452" s="2">
        <v>42736</v>
      </c>
      <c r="F452" s="17">
        <v>2329026</v>
      </c>
      <c r="G452" s="17">
        <v>36910.080000000002</v>
      </c>
      <c r="H452" s="31">
        <v>1</v>
      </c>
      <c r="I452" s="1" t="s">
        <v>21</v>
      </c>
      <c r="J452" s="1" t="s">
        <v>32</v>
      </c>
      <c r="K452" s="1"/>
      <c r="L452" s="1" t="s">
        <v>252</v>
      </c>
      <c r="M452" s="1"/>
      <c r="N452" s="31">
        <v>9</v>
      </c>
      <c r="O452" s="31">
        <v>2</v>
      </c>
      <c r="P452" s="32">
        <v>2009</v>
      </c>
    </row>
    <row r="453" spans="1:16" x14ac:dyDescent="0.25">
      <c r="A453" s="1" t="s">
        <v>259</v>
      </c>
      <c r="B453" s="31">
        <v>54.9</v>
      </c>
      <c r="C453" s="1" t="s">
        <v>20</v>
      </c>
      <c r="D453" s="2">
        <v>42736</v>
      </c>
      <c r="E453" s="2">
        <v>42736</v>
      </c>
      <c r="F453" s="17">
        <v>2030000</v>
      </c>
      <c r="G453" s="17">
        <v>36976.32</v>
      </c>
      <c r="H453" s="31">
        <v>1</v>
      </c>
      <c r="I453" s="1" t="s">
        <v>21</v>
      </c>
      <c r="J453" s="1" t="s">
        <v>32</v>
      </c>
      <c r="K453" s="1"/>
      <c r="L453" s="1" t="s">
        <v>252</v>
      </c>
      <c r="M453" s="1"/>
      <c r="N453" s="31">
        <v>5</v>
      </c>
      <c r="O453" s="31">
        <v>2</v>
      </c>
      <c r="P453" s="32">
        <v>2008</v>
      </c>
    </row>
    <row r="454" spans="1:16" x14ac:dyDescent="0.25">
      <c r="A454" s="1" t="s">
        <v>259</v>
      </c>
      <c r="B454" s="31">
        <v>54.9</v>
      </c>
      <c r="C454" s="1" t="s">
        <v>20</v>
      </c>
      <c r="D454" s="2">
        <v>42736</v>
      </c>
      <c r="E454" s="2">
        <v>42736</v>
      </c>
      <c r="F454" s="17">
        <v>2030000</v>
      </c>
      <c r="G454" s="17">
        <v>36976.32</v>
      </c>
      <c r="H454" s="31">
        <v>1</v>
      </c>
      <c r="I454" s="1" t="s">
        <v>21</v>
      </c>
      <c r="J454" s="1" t="s">
        <v>32</v>
      </c>
      <c r="K454" s="1"/>
      <c r="L454" s="1" t="s">
        <v>252</v>
      </c>
      <c r="M454" s="1"/>
      <c r="N454" s="31">
        <v>5</v>
      </c>
      <c r="O454" s="31">
        <v>2</v>
      </c>
      <c r="P454" s="32">
        <v>2008</v>
      </c>
    </row>
    <row r="455" spans="1:16" x14ac:dyDescent="0.25">
      <c r="A455" s="1" t="s">
        <v>262</v>
      </c>
      <c r="B455" s="31">
        <v>39</v>
      </c>
      <c r="C455" s="1" t="s">
        <v>20</v>
      </c>
      <c r="D455" s="2">
        <v>42705</v>
      </c>
      <c r="E455" s="2">
        <v>42705</v>
      </c>
      <c r="F455" s="17">
        <v>1450000</v>
      </c>
      <c r="G455" s="17">
        <v>37179.49</v>
      </c>
      <c r="H455" s="31">
        <v>1</v>
      </c>
      <c r="I455" s="1" t="s">
        <v>21</v>
      </c>
      <c r="J455" s="1" t="s">
        <v>32</v>
      </c>
      <c r="K455" s="1"/>
      <c r="L455" s="1" t="s">
        <v>252</v>
      </c>
      <c r="M455" s="1" t="s">
        <v>258</v>
      </c>
      <c r="N455" s="31">
        <v>8</v>
      </c>
      <c r="O455" s="31">
        <v>1</v>
      </c>
      <c r="P455" s="32">
        <v>2012</v>
      </c>
    </row>
    <row r="456" spans="1:16" x14ac:dyDescent="0.25">
      <c r="A456" s="1" t="s">
        <v>276</v>
      </c>
      <c r="B456" s="31">
        <v>62.4</v>
      </c>
      <c r="C456" s="1" t="s">
        <v>20</v>
      </c>
      <c r="D456" s="2">
        <v>42767</v>
      </c>
      <c r="E456" s="2">
        <v>42767</v>
      </c>
      <c r="F456" s="17">
        <v>2352000</v>
      </c>
      <c r="G456" s="17">
        <v>37692.31</v>
      </c>
      <c r="H456" s="31">
        <v>1</v>
      </c>
      <c r="I456" s="1" t="s">
        <v>21</v>
      </c>
      <c r="J456" s="1" t="s">
        <v>32</v>
      </c>
      <c r="K456" s="1"/>
      <c r="L456" s="1" t="s">
        <v>252</v>
      </c>
      <c r="M456" s="1" t="s">
        <v>258</v>
      </c>
      <c r="N456" s="31">
        <v>2</v>
      </c>
      <c r="O456" s="31">
        <v>1</v>
      </c>
      <c r="P456" s="32">
        <v>2015</v>
      </c>
    </row>
    <row r="457" spans="1:16" x14ac:dyDescent="0.25">
      <c r="A457" s="1" t="s">
        <v>266</v>
      </c>
      <c r="B457" s="31">
        <v>65.3</v>
      </c>
      <c r="C457" s="1" t="s">
        <v>20</v>
      </c>
      <c r="D457" s="2">
        <v>42767</v>
      </c>
      <c r="E457" s="2">
        <v>42767</v>
      </c>
      <c r="F457" s="17">
        <v>2464000</v>
      </c>
      <c r="G457" s="17">
        <v>37733.54</v>
      </c>
      <c r="H457" s="31">
        <v>1</v>
      </c>
      <c r="I457" s="1" t="s">
        <v>21</v>
      </c>
      <c r="J457" s="1" t="s">
        <v>22</v>
      </c>
      <c r="K457" s="1"/>
      <c r="L457" s="1" t="s">
        <v>252</v>
      </c>
      <c r="M457" s="1"/>
      <c r="N457" s="31">
        <v>5</v>
      </c>
      <c r="O457" s="31">
        <v>2</v>
      </c>
      <c r="P457" s="32">
        <v>2017</v>
      </c>
    </row>
    <row r="458" spans="1:16" x14ac:dyDescent="0.25">
      <c r="A458" s="1" t="s">
        <v>266</v>
      </c>
      <c r="B458" s="31">
        <v>65.3</v>
      </c>
      <c r="C458" s="1" t="s">
        <v>20</v>
      </c>
      <c r="D458" s="2">
        <v>42767</v>
      </c>
      <c r="E458" s="2">
        <v>42767</v>
      </c>
      <c r="F458" s="17">
        <v>2464000</v>
      </c>
      <c r="G458" s="17">
        <v>37733.54</v>
      </c>
      <c r="H458" s="31">
        <v>1</v>
      </c>
      <c r="I458" s="1" t="s">
        <v>21</v>
      </c>
      <c r="J458" s="1" t="s">
        <v>22</v>
      </c>
      <c r="K458" s="1"/>
      <c r="L458" s="1" t="s">
        <v>252</v>
      </c>
      <c r="M458" s="1"/>
      <c r="N458" s="31">
        <v>5</v>
      </c>
      <c r="O458" s="31">
        <v>2</v>
      </c>
      <c r="P458" s="32">
        <v>2017</v>
      </c>
    </row>
    <row r="459" spans="1:16" x14ac:dyDescent="0.25">
      <c r="A459" s="1" t="s">
        <v>259</v>
      </c>
      <c r="B459" s="31">
        <v>37.9</v>
      </c>
      <c r="C459" s="1" t="s">
        <v>20</v>
      </c>
      <c r="D459" s="2">
        <v>42705</v>
      </c>
      <c r="E459" s="2">
        <v>42705</v>
      </c>
      <c r="F459" s="17">
        <v>1440000</v>
      </c>
      <c r="G459" s="17">
        <v>37994.720000000001</v>
      </c>
      <c r="H459" s="31">
        <v>1</v>
      </c>
      <c r="I459" s="1" t="s">
        <v>21</v>
      </c>
      <c r="J459" s="1" t="s">
        <v>32</v>
      </c>
      <c r="K459" s="1"/>
      <c r="L459" s="1" t="s">
        <v>252</v>
      </c>
      <c r="M459" s="1"/>
      <c r="N459" s="31">
        <v>2</v>
      </c>
      <c r="O459" s="31">
        <v>1</v>
      </c>
      <c r="P459" s="32">
        <v>2011</v>
      </c>
    </row>
    <row r="460" spans="1:16" x14ac:dyDescent="0.25">
      <c r="A460" s="1" t="s">
        <v>262</v>
      </c>
      <c r="B460" s="31">
        <v>57.6</v>
      </c>
      <c r="C460" s="1" t="s">
        <v>20</v>
      </c>
      <c r="D460" s="2">
        <v>42675</v>
      </c>
      <c r="E460" s="2">
        <v>42675</v>
      </c>
      <c r="F460" s="17">
        <v>2200000</v>
      </c>
      <c r="G460" s="17">
        <v>38194.44</v>
      </c>
      <c r="H460" s="31">
        <v>1</v>
      </c>
      <c r="I460" s="1" t="s">
        <v>21</v>
      </c>
      <c r="J460" s="1" t="s">
        <v>32</v>
      </c>
      <c r="K460" s="1"/>
      <c r="L460" s="1" t="s">
        <v>252</v>
      </c>
      <c r="M460" s="1" t="s">
        <v>258</v>
      </c>
      <c r="N460" s="31">
        <v>3</v>
      </c>
      <c r="O460" s="31">
        <v>2</v>
      </c>
      <c r="P460" s="32">
        <v>2010</v>
      </c>
    </row>
    <row r="461" spans="1:16" x14ac:dyDescent="0.25">
      <c r="A461" s="1" t="s">
        <v>262</v>
      </c>
      <c r="B461" s="31">
        <v>57.6</v>
      </c>
      <c r="C461" s="1" t="s">
        <v>20</v>
      </c>
      <c r="D461" s="2">
        <v>42675</v>
      </c>
      <c r="E461" s="2">
        <v>42675</v>
      </c>
      <c r="F461" s="17">
        <v>2200000</v>
      </c>
      <c r="G461" s="17">
        <v>38194.44</v>
      </c>
      <c r="H461" s="31">
        <v>1</v>
      </c>
      <c r="I461" s="1" t="s">
        <v>21</v>
      </c>
      <c r="J461" s="1" t="s">
        <v>32</v>
      </c>
      <c r="K461" s="1"/>
      <c r="L461" s="1" t="s">
        <v>252</v>
      </c>
      <c r="M461" s="1" t="s">
        <v>258</v>
      </c>
      <c r="N461" s="31">
        <v>3</v>
      </c>
      <c r="O461" s="31">
        <v>2</v>
      </c>
      <c r="P461" s="32">
        <v>2010</v>
      </c>
    </row>
    <row r="462" spans="1:16" x14ac:dyDescent="0.25">
      <c r="A462" s="1" t="s">
        <v>266</v>
      </c>
      <c r="B462" s="31">
        <v>35.799999999999997</v>
      </c>
      <c r="C462" s="1" t="s">
        <v>20</v>
      </c>
      <c r="D462" s="2">
        <v>42705</v>
      </c>
      <c r="E462" s="2">
        <v>42705</v>
      </c>
      <c r="F462" s="17">
        <v>1370000</v>
      </c>
      <c r="G462" s="17">
        <v>38268.160000000003</v>
      </c>
      <c r="H462" s="31">
        <v>1</v>
      </c>
      <c r="I462" s="1" t="s">
        <v>21</v>
      </c>
      <c r="J462" s="1" t="s">
        <v>32</v>
      </c>
      <c r="K462" s="1"/>
      <c r="L462" s="1" t="s">
        <v>252</v>
      </c>
      <c r="M462" s="1" t="s">
        <v>254</v>
      </c>
      <c r="N462" s="31">
        <v>8</v>
      </c>
      <c r="O462" s="31">
        <v>2</v>
      </c>
      <c r="P462" s="32">
        <v>2013</v>
      </c>
    </row>
    <row r="463" spans="1:16" x14ac:dyDescent="0.25">
      <c r="A463" s="1" t="s">
        <v>266</v>
      </c>
      <c r="B463" s="31">
        <v>35.799999999999997</v>
      </c>
      <c r="C463" s="1" t="s">
        <v>20</v>
      </c>
      <c r="D463" s="2">
        <v>42705</v>
      </c>
      <c r="E463" s="2">
        <v>42705</v>
      </c>
      <c r="F463" s="17">
        <v>1370000</v>
      </c>
      <c r="G463" s="17">
        <v>38268.160000000003</v>
      </c>
      <c r="H463" s="31">
        <v>1</v>
      </c>
      <c r="I463" s="1" t="s">
        <v>21</v>
      </c>
      <c r="J463" s="1" t="s">
        <v>32</v>
      </c>
      <c r="K463" s="1"/>
      <c r="L463" s="1" t="s">
        <v>252</v>
      </c>
      <c r="M463" s="1" t="s">
        <v>254</v>
      </c>
      <c r="N463" s="31">
        <v>8</v>
      </c>
      <c r="O463" s="31">
        <v>2</v>
      </c>
      <c r="P463" s="32">
        <v>2013</v>
      </c>
    </row>
    <row r="464" spans="1:16" x14ac:dyDescent="0.25">
      <c r="A464" s="1" t="s">
        <v>276</v>
      </c>
      <c r="B464" s="31">
        <v>37.6</v>
      </c>
      <c r="C464" s="1" t="s">
        <v>20</v>
      </c>
      <c r="D464" s="2">
        <v>42675</v>
      </c>
      <c r="E464" s="2">
        <v>42675</v>
      </c>
      <c r="F464" s="17">
        <v>1450000</v>
      </c>
      <c r="G464" s="17">
        <v>38563.83</v>
      </c>
      <c r="H464" s="31">
        <v>1</v>
      </c>
      <c r="I464" s="1" t="s">
        <v>21</v>
      </c>
      <c r="J464" s="1" t="s">
        <v>22</v>
      </c>
      <c r="K464" s="1"/>
      <c r="L464" s="1" t="s">
        <v>252</v>
      </c>
      <c r="M464" s="1" t="s">
        <v>258</v>
      </c>
      <c r="N464" s="31">
        <v>5</v>
      </c>
      <c r="O464" s="31">
        <v>2</v>
      </c>
      <c r="P464" s="32">
        <v>2016</v>
      </c>
    </row>
    <row r="465" spans="1:16" x14ac:dyDescent="0.25">
      <c r="A465" s="1" t="s">
        <v>276</v>
      </c>
      <c r="B465" s="31">
        <v>37.6</v>
      </c>
      <c r="C465" s="1" t="s">
        <v>20</v>
      </c>
      <c r="D465" s="2">
        <v>42675</v>
      </c>
      <c r="E465" s="2">
        <v>42675</v>
      </c>
      <c r="F465" s="17">
        <v>1450000</v>
      </c>
      <c r="G465" s="17">
        <v>38563.83</v>
      </c>
      <c r="H465" s="31">
        <v>1</v>
      </c>
      <c r="I465" s="1" t="s">
        <v>21</v>
      </c>
      <c r="J465" s="1" t="s">
        <v>22</v>
      </c>
      <c r="K465" s="1"/>
      <c r="L465" s="1" t="s">
        <v>252</v>
      </c>
      <c r="M465" s="1" t="s">
        <v>258</v>
      </c>
      <c r="N465" s="31">
        <v>5</v>
      </c>
      <c r="O465" s="31">
        <v>2</v>
      </c>
      <c r="P465" s="32">
        <v>2016</v>
      </c>
    </row>
    <row r="466" spans="1:16" x14ac:dyDescent="0.25">
      <c r="A466" s="1" t="s">
        <v>272</v>
      </c>
      <c r="B466" s="31">
        <v>58.7</v>
      </c>
      <c r="C466" s="1" t="s">
        <v>20</v>
      </c>
      <c r="D466" s="2">
        <v>42705</v>
      </c>
      <c r="E466" s="2">
        <v>42705</v>
      </c>
      <c r="F466" s="17">
        <v>2317026</v>
      </c>
      <c r="G466" s="17">
        <v>39472.33</v>
      </c>
      <c r="H466" s="31">
        <v>1</v>
      </c>
      <c r="I466" s="1" t="s">
        <v>21</v>
      </c>
      <c r="J466" s="1" t="s">
        <v>32</v>
      </c>
      <c r="K466" s="1"/>
      <c r="L466" s="1" t="s">
        <v>252</v>
      </c>
      <c r="M466" s="1" t="s">
        <v>130</v>
      </c>
      <c r="N466" s="31">
        <v>8</v>
      </c>
      <c r="O466" s="31">
        <v>2</v>
      </c>
      <c r="P466" s="32">
        <v>2010</v>
      </c>
    </row>
    <row r="467" spans="1:16" x14ac:dyDescent="0.25">
      <c r="A467" s="1" t="s">
        <v>272</v>
      </c>
      <c r="B467" s="31">
        <v>58.7</v>
      </c>
      <c r="C467" s="1" t="s">
        <v>20</v>
      </c>
      <c r="D467" s="2">
        <v>42705</v>
      </c>
      <c r="E467" s="2">
        <v>42705</v>
      </c>
      <c r="F467" s="17">
        <v>2317026</v>
      </c>
      <c r="G467" s="17">
        <v>39472.33</v>
      </c>
      <c r="H467" s="31">
        <v>1</v>
      </c>
      <c r="I467" s="1" t="s">
        <v>21</v>
      </c>
      <c r="J467" s="1" t="s">
        <v>32</v>
      </c>
      <c r="K467" s="1"/>
      <c r="L467" s="1" t="s">
        <v>252</v>
      </c>
      <c r="M467" s="1" t="s">
        <v>130</v>
      </c>
      <c r="N467" s="31">
        <v>8</v>
      </c>
      <c r="O467" s="31">
        <v>2</v>
      </c>
      <c r="P467" s="32">
        <v>2010</v>
      </c>
    </row>
    <row r="468" spans="1:16" x14ac:dyDescent="0.25">
      <c r="A468" s="1" t="s">
        <v>267</v>
      </c>
      <c r="B468" s="31">
        <v>63.6</v>
      </c>
      <c r="C468" s="1" t="s">
        <v>20</v>
      </c>
      <c r="D468" s="2">
        <v>42767</v>
      </c>
      <c r="E468" s="2">
        <v>42767</v>
      </c>
      <c r="F468" s="17">
        <v>2513000</v>
      </c>
      <c r="G468" s="17">
        <v>39512.58</v>
      </c>
      <c r="H468" s="31">
        <v>1</v>
      </c>
      <c r="I468" s="1" t="s">
        <v>21</v>
      </c>
      <c r="J468" s="1" t="s">
        <v>22</v>
      </c>
      <c r="K468" s="1"/>
      <c r="L468" s="1" t="s">
        <v>252</v>
      </c>
      <c r="M468" s="1"/>
      <c r="N468" s="31">
        <v>10</v>
      </c>
      <c r="O468" s="31">
        <v>2</v>
      </c>
      <c r="P468" s="32">
        <v>2016</v>
      </c>
    </row>
    <row r="469" spans="1:16" x14ac:dyDescent="0.25">
      <c r="A469" s="1" t="s">
        <v>273</v>
      </c>
      <c r="B469" s="31">
        <v>39.9</v>
      </c>
      <c r="C469" s="1" t="s">
        <v>20</v>
      </c>
      <c r="D469" s="2">
        <v>42705</v>
      </c>
      <c r="E469" s="2">
        <v>42705</v>
      </c>
      <c r="F469" s="17">
        <v>1600000</v>
      </c>
      <c r="G469" s="17">
        <v>40100.25</v>
      </c>
      <c r="H469" s="31">
        <v>1</v>
      </c>
      <c r="I469" s="1" t="s">
        <v>21</v>
      </c>
      <c r="J469" s="1" t="s">
        <v>32</v>
      </c>
      <c r="K469" s="1"/>
      <c r="L469" s="1" t="s">
        <v>252</v>
      </c>
      <c r="M469" s="1"/>
      <c r="N469" s="31">
        <v>5</v>
      </c>
      <c r="O469" s="31">
        <v>1</v>
      </c>
      <c r="P469" s="32">
        <v>2006</v>
      </c>
    </row>
    <row r="470" spans="1:16" x14ac:dyDescent="0.25">
      <c r="A470" s="1" t="s">
        <v>267</v>
      </c>
      <c r="B470" s="31">
        <v>63.9</v>
      </c>
      <c r="C470" s="1" t="s">
        <v>20</v>
      </c>
      <c r="D470" s="2">
        <v>42614</v>
      </c>
      <c r="E470" s="2">
        <v>42644</v>
      </c>
      <c r="F470" s="17">
        <v>2591600</v>
      </c>
      <c r="G470" s="17">
        <v>40557.120000000003</v>
      </c>
      <c r="H470" s="31">
        <v>1</v>
      </c>
      <c r="I470" s="1" t="s">
        <v>21</v>
      </c>
      <c r="J470" s="1" t="s">
        <v>22</v>
      </c>
      <c r="K470" s="1"/>
      <c r="L470" s="1" t="s">
        <v>252</v>
      </c>
      <c r="M470" s="1"/>
      <c r="N470" s="31">
        <v>2</v>
      </c>
      <c r="O470" s="31">
        <v>2</v>
      </c>
      <c r="P470" s="32">
        <v>2016</v>
      </c>
    </row>
    <row r="471" spans="1:16" x14ac:dyDescent="0.25">
      <c r="A471" s="1" t="s">
        <v>267</v>
      </c>
      <c r="B471" s="31">
        <v>63.9</v>
      </c>
      <c r="C471" s="1" t="s">
        <v>20</v>
      </c>
      <c r="D471" s="2">
        <v>42614</v>
      </c>
      <c r="E471" s="2">
        <v>42644</v>
      </c>
      <c r="F471" s="17">
        <v>2591600</v>
      </c>
      <c r="G471" s="17">
        <v>40557.120000000003</v>
      </c>
      <c r="H471" s="31">
        <v>1</v>
      </c>
      <c r="I471" s="1" t="s">
        <v>21</v>
      </c>
      <c r="J471" s="1" t="s">
        <v>22</v>
      </c>
      <c r="K471" s="1"/>
      <c r="L471" s="1" t="s">
        <v>252</v>
      </c>
      <c r="M471" s="1"/>
      <c r="N471" s="31">
        <v>2</v>
      </c>
      <c r="O471" s="31">
        <v>2</v>
      </c>
      <c r="P471" s="32">
        <v>2016</v>
      </c>
    </row>
    <row r="472" spans="1:16" x14ac:dyDescent="0.25">
      <c r="A472" s="1" t="s">
        <v>267</v>
      </c>
      <c r="B472" s="31">
        <v>35.5</v>
      </c>
      <c r="C472" s="1" t="s">
        <v>20</v>
      </c>
      <c r="D472" s="2">
        <v>42644</v>
      </c>
      <c r="E472" s="2">
        <v>42644</v>
      </c>
      <c r="F472" s="17">
        <v>1442000</v>
      </c>
      <c r="G472" s="17">
        <v>40619.72</v>
      </c>
      <c r="H472" s="31">
        <v>1</v>
      </c>
      <c r="I472" s="1" t="s">
        <v>21</v>
      </c>
      <c r="J472" s="1" t="s">
        <v>22</v>
      </c>
      <c r="K472" s="1"/>
      <c r="L472" s="1" t="s">
        <v>252</v>
      </c>
      <c r="M472" s="1"/>
      <c r="N472" s="31">
        <v>9</v>
      </c>
      <c r="O472" s="31">
        <v>2</v>
      </c>
      <c r="P472" s="32">
        <v>2016</v>
      </c>
    </row>
    <row r="473" spans="1:16" x14ac:dyDescent="0.25">
      <c r="A473" s="1" t="s">
        <v>267</v>
      </c>
      <c r="B473" s="31">
        <v>35.5</v>
      </c>
      <c r="C473" s="1" t="s">
        <v>20</v>
      </c>
      <c r="D473" s="2">
        <v>42644</v>
      </c>
      <c r="E473" s="2">
        <v>42644</v>
      </c>
      <c r="F473" s="17">
        <v>1442000</v>
      </c>
      <c r="G473" s="17">
        <v>40619.72</v>
      </c>
      <c r="H473" s="31">
        <v>1</v>
      </c>
      <c r="I473" s="1" t="s">
        <v>21</v>
      </c>
      <c r="J473" s="1" t="s">
        <v>22</v>
      </c>
      <c r="K473" s="1"/>
      <c r="L473" s="1" t="s">
        <v>252</v>
      </c>
      <c r="M473" s="1"/>
      <c r="N473" s="31">
        <v>9</v>
      </c>
      <c r="O473" s="31">
        <v>2</v>
      </c>
      <c r="P473" s="32">
        <v>2016</v>
      </c>
    </row>
    <row r="474" spans="1:16" x14ac:dyDescent="0.25">
      <c r="A474" s="1" t="s">
        <v>271</v>
      </c>
      <c r="B474" s="31">
        <v>40.200000000000003</v>
      </c>
      <c r="C474" s="1" t="s">
        <v>20</v>
      </c>
      <c r="D474" s="2">
        <v>42644</v>
      </c>
      <c r="E474" s="2">
        <v>42644</v>
      </c>
      <c r="F474" s="17">
        <v>1660000</v>
      </c>
      <c r="G474" s="17">
        <v>41293.53</v>
      </c>
      <c r="H474" s="31">
        <v>1</v>
      </c>
      <c r="I474" s="1" t="s">
        <v>21</v>
      </c>
      <c r="J474" s="1" t="s">
        <v>32</v>
      </c>
      <c r="K474" s="1"/>
      <c r="L474" s="1" t="s">
        <v>252</v>
      </c>
      <c r="M474" s="1"/>
      <c r="N474" s="31">
        <v>4</v>
      </c>
      <c r="O474" s="31">
        <v>1</v>
      </c>
      <c r="P474" s="32">
        <v>2005</v>
      </c>
    </row>
    <row r="475" spans="1:16" x14ac:dyDescent="0.25">
      <c r="A475" s="1" t="s">
        <v>259</v>
      </c>
      <c r="B475" s="31">
        <v>34.700000000000003</v>
      </c>
      <c r="C475" s="1" t="s">
        <v>20</v>
      </c>
      <c r="D475" s="2">
        <v>42736</v>
      </c>
      <c r="E475" s="2">
        <v>42736</v>
      </c>
      <c r="F475" s="17">
        <v>1460000</v>
      </c>
      <c r="G475" s="17">
        <v>42074.93</v>
      </c>
      <c r="H475" s="31">
        <v>1</v>
      </c>
      <c r="I475" s="1" t="s">
        <v>21</v>
      </c>
      <c r="J475" s="1" t="s">
        <v>32</v>
      </c>
      <c r="K475" s="1"/>
      <c r="L475" s="1" t="s">
        <v>252</v>
      </c>
      <c r="M475" s="1" t="s">
        <v>174</v>
      </c>
      <c r="N475" s="31">
        <v>4</v>
      </c>
      <c r="O475" s="31">
        <v>1</v>
      </c>
      <c r="P475" s="32">
        <v>2003</v>
      </c>
    </row>
    <row r="476" spans="1:16" x14ac:dyDescent="0.25">
      <c r="A476" s="1" t="s">
        <v>259</v>
      </c>
      <c r="B476" s="31">
        <v>33</v>
      </c>
      <c r="C476" s="1" t="s">
        <v>20</v>
      </c>
      <c r="D476" s="2">
        <v>42614</v>
      </c>
      <c r="E476" s="2">
        <v>42644</v>
      </c>
      <c r="F476" s="17">
        <v>1450000</v>
      </c>
      <c r="G476" s="17">
        <v>43939.39</v>
      </c>
      <c r="H476" s="31">
        <v>1</v>
      </c>
      <c r="I476" s="1" t="s">
        <v>21</v>
      </c>
      <c r="J476" s="1" t="s">
        <v>32</v>
      </c>
      <c r="K476" s="1"/>
      <c r="L476" s="1" t="s">
        <v>252</v>
      </c>
      <c r="M476" s="1"/>
      <c r="N476" s="31">
        <v>4</v>
      </c>
      <c r="O476" s="31">
        <v>2</v>
      </c>
      <c r="P476" s="32">
        <v>2013</v>
      </c>
    </row>
    <row r="477" spans="1:16" x14ac:dyDescent="0.25">
      <c r="A477" s="1" t="s">
        <v>259</v>
      </c>
      <c r="B477" s="31">
        <v>33</v>
      </c>
      <c r="C477" s="1" t="s">
        <v>20</v>
      </c>
      <c r="D477" s="2">
        <v>42614</v>
      </c>
      <c r="E477" s="2">
        <v>42644</v>
      </c>
      <c r="F477" s="17">
        <v>1450000</v>
      </c>
      <c r="G477" s="17">
        <v>43939.39</v>
      </c>
      <c r="H477" s="31">
        <v>1</v>
      </c>
      <c r="I477" s="1" t="s">
        <v>21</v>
      </c>
      <c r="J477" s="1" t="s">
        <v>32</v>
      </c>
      <c r="K477" s="1"/>
      <c r="L477" s="1" t="s">
        <v>252</v>
      </c>
      <c r="M477" s="1"/>
      <c r="N477" s="31">
        <v>4</v>
      </c>
      <c r="O477" s="31">
        <v>2</v>
      </c>
      <c r="P477" s="32">
        <v>2013</v>
      </c>
    </row>
    <row r="478" spans="1:16" x14ac:dyDescent="0.25">
      <c r="A478" s="1" t="s">
        <v>256</v>
      </c>
      <c r="B478" s="31">
        <v>51.6</v>
      </c>
      <c r="C478" s="1" t="s">
        <v>20</v>
      </c>
      <c r="D478" s="2">
        <v>42705</v>
      </c>
      <c r="E478" s="2">
        <v>42705</v>
      </c>
      <c r="F478" s="17">
        <v>2400000</v>
      </c>
      <c r="G478" s="17">
        <v>46511.63</v>
      </c>
      <c r="H478" s="31">
        <v>1</v>
      </c>
      <c r="I478" s="1" t="s">
        <v>21</v>
      </c>
      <c r="J478" s="1" t="s">
        <v>64</v>
      </c>
      <c r="K478" s="1"/>
      <c r="L478" s="1" t="s">
        <v>252</v>
      </c>
      <c r="M478" s="1" t="s">
        <v>257</v>
      </c>
      <c r="N478" s="31">
        <v>1</v>
      </c>
      <c r="O478" s="31">
        <v>1</v>
      </c>
      <c r="P478" s="32">
        <v>2014</v>
      </c>
    </row>
    <row r="479" spans="1:16" x14ac:dyDescent="0.25">
      <c r="A479" s="1" t="s">
        <v>294</v>
      </c>
      <c r="B479" s="31">
        <v>73.5</v>
      </c>
      <c r="C479" s="1" t="s">
        <v>20</v>
      </c>
      <c r="D479" s="2">
        <v>42705</v>
      </c>
      <c r="E479" s="2">
        <v>42705</v>
      </c>
      <c r="F479" s="17">
        <v>1316000</v>
      </c>
      <c r="G479" s="17">
        <v>17904.759999999998</v>
      </c>
      <c r="H479" s="31">
        <v>1</v>
      </c>
      <c r="I479" s="1" t="s">
        <v>21</v>
      </c>
      <c r="J479" s="1" t="s">
        <v>22</v>
      </c>
      <c r="K479" s="1" t="s">
        <v>288</v>
      </c>
      <c r="L479" s="1" t="s">
        <v>286</v>
      </c>
      <c r="M479" s="1" t="s">
        <v>235</v>
      </c>
      <c r="N479" s="31">
        <v>1</v>
      </c>
      <c r="O479" s="31">
        <v>1</v>
      </c>
      <c r="P479" s="32">
        <v>2011</v>
      </c>
    </row>
    <row r="480" spans="1:16" x14ac:dyDescent="0.25">
      <c r="A480" s="1" t="s">
        <v>296</v>
      </c>
      <c r="B480" s="31">
        <v>66.5</v>
      </c>
      <c r="C480" s="1" t="s">
        <v>20</v>
      </c>
      <c r="D480" s="2">
        <v>42705</v>
      </c>
      <c r="E480" s="2">
        <v>42705</v>
      </c>
      <c r="F480" s="17">
        <v>2000000</v>
      </c>
      <c r="G480" s="17">
        <v>30075.19</v>
      </c>
      <c r="H480" s="31">
        <v>1</v>
      </c>
      <c r="I480" s="1" t="s">
        <v>21</v>
      </c>
      <c r="J480" s="1" t="s">
        <v>22</v>
      </c>
      <c r="K480" s="1"/>
      <c r="L480" s="1" t="s">
        <v>295</v>
      </c>
      <c r="M480" s="1" t="s">
        <v>297</v>
      </c>
      <c r="N480" s="31">
        <v>1</v>
      </c>
      <c r="O480" s="31">
        <v>1</v>
      </c>
      <c r="P480" s="32">
        <v>2003</v>
      </c>
    </row>
    <row r="481" spans="1:16" x14ac:dyDescent="0.25">
      <c r="A481" s="1" t="s">
        <v>312</v>
      </c>
      <c r="B481" s="31">
        <v>30.9</v>
      </c>
      <c r="C481" s="1" t="s">
        <v>20</v>
      </c>
      <c r="D481" s="2">
        <v>42795</v>
      </c>
      <c r="E481" s="2">
        <v>42795</v>
      </c>
      <c r="F481" s="17">
        <v>930000</v>
      </c>
      <c r="G481" s="17">
        <v>30097.09</v>
      </c>
      <c r="H481" s="31">
        <v>1</v>
      </c>
      <c r="I481" s="1" t="s">
        <v>21</v>
      </c>
      <c r="J481" s="1" t="s">
        <v>32</v>
      </c>
      <c r="K481" s="1"/>
      <c r="L481" s="1" t="s">
        <v>295</v>
      </c>
      <c r="M481" s="1" t="s">
        <v>297</v>
      </c>
      <c r="N481" s="31">
        <v>3</v>
      </c>
      <c r="O481" s="31">
        <v>1</v>
      </c>
      <c r="P481" s="32">
        <v>2004</v>
      </c>
    </row>
    <row r="482" spans="1:16" x14ac:dyDescent="0.25">
      <c r="A482" s="1" t="s">
        <v>306</v>
      </c>
      <c r="B482" s="31">
        <v>45.6</v>
      </c>
      <c r="C482" s="1" t="s">
        <v>20</v>
      </c>
      <c r="D482" s="2">
        <v>42675</v>
      </c>
      <c r="E482" s="2">
        <v>42675</v>
      </c>
      <c r="F482" s="17">
        <v>1376000</v>
      </c>
      <c r="G482" s="17">
        <v>30175.439999999999</v>
      </c>
      <c r="H482" s="31">
        <v>1</v>
      </c>
      <c r="I482" s="1" t="s">
        <v>21</v>
      </c>
      <c r="J482" s="1" t="s">
        <v>22</v>
      </c>
      <c r="K482" s="1"/>
      <c r="L482" s="1" t="s">
        <v>295</v>
      </c>
      <c r="M482" s="1" t="s">
        <v>194</v>
      </c>
      <c r="N482" s="31">
        <v>4</v>
      </c>
      <c r="O482" s="31">
        <v>1</v>
      </c>
      <c r="P482" s="32">
        <v>2011</v>
      </c>
    </row>
    <row r="483" spans="1:16" x14ac:dyDescent="0.25">
      <c r="A483" s="1" t="s">
        <v>319</v>
      </c>
      <c r="B483" s="31">
        <v>43.7</v>
      </c>
      <c r="C483" s="1" t="s">
        <v>20</v>
      </c>
      <c r="D483" s="2">
        <v>42736</v>
      </c>
      <c r="E483" s="2">
        <v>42767</v>
      </c>
      <c r="F483" s="17">
        <v>1320000</v>
      </c>
      <c r="G483" s="17">
        <v>30205.95</v>
      </c>
      <c r="H483" s="31">
        <v>1</v>
      </c>
      <c r="I483" s="1" t="s">
        <v>21</v>
      </c>
      <c r="J483" s="1" t="s">
        <v>22</v>
      </c>
      <c r="K483" s="1"/>
      <c r="L483" s="1" t="s">
        <v>295</v>
      </c>
      <c r="M483" s="1" t="s">
        <v>324</v>
      </c>
      <c r="N483" s="31">
        <v>4</v>
      </c>
      <c r="O483" s="31">
        <v>1</v>
      </c>
      <c r="P483" s="32">
        <v>2013</v>
      </c>
    </row>
    <row r="484" spans="1:16" x14ac:dyDescent="0.25">
      <c r="A484" s="1" t="s">
        <v>313</v>
      </c>
      <c r="B484" s="31">
        <v>43.2</v>
      </c>
      <c r="C484" s="1" t="s">
        <v>20</v>
      </c>
      <c r="D484" s="2">
        <v>42736</v>
      </c>
      <c r="E484" s="2">
        <v>42736</v>
      </c>
      <c r="F484" s="17">
        <v>1306000</v>
      </c>
      <c r="G484" s="17">
        <v>30231.48</v>
      </c>
      <c r="H484" s="31">
        <v>1</v>
      </c>
      <c r="I484" s="1" t="s">
        <v>21</v>
      </c>
      <c r="J484" s="1" t="s">
        <v>22</v>
      </c>
      <c r="K484" s="1"/>
      <c r="L484" s="1" t="s">
        <v>295</v>
      </c>
      <c r="M484" s="1" t="s">
        <v>308</v>
      </c>
      <c r="N484" s="31">
        <v>1</v>
      </c>
      <c r="O484" s="31">
        <v>1</v>
      </c>
      <c r="P484" s="32">
        <v>2007</v>
      </c>
    </row>
    <row r="485" spans="1:16" x14ac:dyDescent="0.25">
      <c r="A485" s="1" t="s">
        <v>312</v>
      </c>
      <c r="B485" s="31">
        <v>58.9</v>
      </c>
      <c r="C485" s="1" t="s">
        <v>20</v>
      </c>
      <c r="D485" s="2">
        <v>42675</v>
      </c>
      <c r="E485" s="2">
        <v>42675</v>
      </c>
      <c r="F485" s="17">
        <v>1800000</v>
      </c>
      <c r="G485" s="17">
        <v>30560.27</v>
      </c>
      <c r="H485" s="31">
        <v>1</v>
      </c>
      <c r="I485" s="1" t="s">
        <v>21</v>
      </c>
      <c r="J485" s="1" t="s">
        <v>22</v>
      </c>
      <c r="K485" s="1"/>
      <c r="L485" s="1" t="s">
        <v>295</v>
      </c>
      <c r="M485" s="1" t="s">
        <v>194</v>
      </c>
      <c r="N485" s="31">
        <v>5</v>
      </c>
      <c r="O485" s="31">
        <v>1</v>
      </c>
      <c r="P485" s="32">
        <v>2005</v>
      </c>
    </row>
    <row r="486" spans="1:16" x14ac:dyDescent="0.25">
      <c r="A486" s="1" t="s">
        <v>296</v>
      </c>
      <c r="B486" s="31">
        <v>37.299999999999997</v>
      </c>
      <c r="C486" s="1" t="s">
        <v>20</v>
      </c>
      <c r="D486" s="2">
        <v>42675</v>
      </c>
      <c r="E486" s="2">
        <v>42705</v>
      </c>
      <c r="F486" s="17">
        <v>1140000</v>
      </c>
      <c r="G486" s="17">
        <v>30563</v>
      </c>
      <c r="H486" s="31">
        <v>1</v>
      </c>
      <c r="I486" s="1" t="s">
        <v>21</v>
      </c>
      <c r="J486" s="1" t="s">
        <v>22</v>
      </c>
      <c r="K486" s="1"/>
      <c r="L486" s="1" t="s">
        <v>295</v>
      </c>
      <c r="M486" s="1" t="s">
        <v>314</v>
      </c>
      <c r="N486" s="31">
        <v>1</v>
      </c>
      <c r="O486" s="31">
        <v>1</v>
      </c>
      <c r="P486" s="32">
        <v>2010</v>
      </c>
    </row>
    <row r="487" spans="1:16" x14ac:dyDescent="0.25">
      <c r="A487" s="1" t="s">
        <v>312</v>
      </c>
      <c r="B487" s="31">
        <v>28.9</v>
      </c>
      <c r="C487" s="1" t="s">
        <v>20</v>
      </c>
      <c r="D487" s="2">
        <v>42675</v>
      </c>
      <c r="E487" s="2">
        <v>42675</v>
      </c>
      <c r="F487" s="17">
        <v>884000</v>
      </c>
      <c r="G487" s="17">
        <v>30588.240000000002</v>
      </c>
      <c r="H487" s="31">
        <v>1</v>
      </c>
      <c r="I487" s="1" t="s">
        <v>21</v>
      </c>
      <c r="J487" s="1" t="s">
        <v>22</v>
      </c>
      <c r="K487" s="1"/>
      <c r="L487" s="1" t="s">
        <v>295</v>
      </c>
      <c r="M487" s="1" t="s">
        <v>128</v>
      </c>
      <c r="N487" s="31">
        <v>7</v>
      </c>
      <c r="O487" s="31">
        <v>1</v>
      </c>
      <c r="P487" s="32">
        <v>2010</v>
      </c>
    </row>
    <row r="488" spans="1:16" x14ac:dyDescent="0.25">
      <c r="A488" s="1" t="s">
        <v>331</v>
      </c>
      <c r="B488" s="31">
        <v>52.3</v>
      </c>
      <c r="C488" s="1" t="s">
        <v>20</v>
      </c>
      <c r="D488" s="2">
        <v>42705</v>
      </c>
      <c r="E488" s="2">
        <v>42705</v>
      </c>
      <c r="F488" s="17">
        <v>1600000</v>
      </c>
      <c r="G488" s="17">
        <v>30592.73</v>
      </c>
      <c r="H488" s="31">
        <v>1</v>
      </c>
      <c r="I488" s="1" t="s">
        <v>21</v>
      </c>
      <c r="J488" s="1" t="s">
        <v>22</v>
      </c>
      <c r="K488" s="1"/>
      <c r="L488" s="1" t="s">
        <v>295</v>
      </c>
      <c r="M488" s="1" t="s">
        <v>130</v>
      </c>
      <c r="N488" s="31">
        <v>4</v>
      </c>
      <c r="O488" s="31">
        <v>1</v>
      </c>
      <c r="P488" s="32">
        <v>2016</v>
      </c>
    </row>
    <row r="489" spans="1:16" x14ac:dyDescent="0.25">
      <c r="A489" s="1" t="s">
        <v>303</v>
      </c>
      <c r="B489" s="31">
        <v>40</v>
      </c>
      <c r="C489" s="1" t="s">
        <v>20</v>
      </c>
      <c r="D489" s="2">
        <v>42705</v>
      </c>
      <c r="E489" s="2">
        <v>42736</v>
      </c>
      <c r="F489" s="17">
        <v>1224000</v>
      </c>
      <c r="G489" s="17">
        <v>30600</v>
      </c>
      <c r="H489" s="31">
        <v>1</v>
      </c>
      <c r="I489" s="1" t="s">
        <v>21</v>
      </c>
      <c r="J489" s="1" t="s">
        <v>32</v>
      </c>
      <c r="K489" s="1"/>
      <c r="L489" s="1" t="s">
        <v>295</v>
      </c>
      <c r="M489" s="1" t="s">
        <v>128</v>
      </c>
      <c r="N489" s="31">
        <v>4</v>
      </c>
      <c r="O489" s="31">
        <v>1</v>
      </c>
      <c r="P489" s="32">
        <v>2000</v>
      </c>
    </row>
    <row r="490" spans="1:16" x14ac:dyDescent="0.25">
      <c r="A490" s="1" t="s">
        <v>300</v>
      </c>
      <c r="B490" s="31">
        <v>52.1</v>
      </c>
      <c r="C490" s="1" t="s">
        <v>20</v>
      </c>
      <c r="D490" s="2">
        <v>42675</v>
      </c>
      <c r="E490" s="2">
        <v>42675</v>
      </c>
      <c r="F490" s="17">
        <v>1600000</v>
      </c>
      <c r="G490" s="17">
        <v>30710.17</v>
      </c>
      <c r="H490" s="31">
        <v>1</v>
      </c>
      <c r="I490" s="1" t="s">
        <v>21</v>
      </c>
      <c r="J490" s="1" t="s">
        <v>22</v>
      </c>
      <c r="K490" s="1"/>
      <c r="L490" s="1" t="s">
        <v>295</v>
      </c>
      <c r="M490" s="1"/>
      <c r="N490" s="31">
        <v>4</v>
      </c>
      <c r="O490" s="31">
        <v>1</v>
      </c>
      <c r="P490" s="32">
        <v>2005</v>
      </c>
    </row>
    <row r="491" spans="1:16" x14ac:dyDescent="0.25">
      <c r="A491" s="1" t="s">
        <v>309</v>
      </c>
      <c r="B491" s="31">
        <v>37</v>
      </c>
      <c r="C491" s="1" t="s">
        <v>20</v>
      </c>
      <c r="D491" s="2">
        <v>42644</v>
      </c>
      <c r="E491" s="2">
        <v>42644</v>
      </c>
      <c r="F491" s="17">
        <v>1140000</v>
      </c>
      <c r="G491" s="17">
        <v>30810.81</v>
      </c>
      <c r="H491" s="31">
        <v>1</v>
      </c>
      <c r="I491" s="1" t="s">
        <v>21</v>
      </c>
      <c r="J491" s="1" t="s">
        <v>22</v>
      </c>
      <c r="K491" s="1"/>
      <c r="L491" s="1" t="s">
        <v>295</v>
      </c>
      <c r="M491" s="1" t="s">
        <v>194</v>
      </c>
      <c r="N491" s="31">
        <v>5</v>
      </c>
      <c r="O491" s="31">
        <v>1</v>
      </c>
      <c r="P491" s="32">
        <v>2004</v>
      </c>
    </row>
    <row r="492" spans="1:16" x14ac:dyDescent="0.25">
      <c r="A492" s="1" t="s">
        <v>296</v>
      </c>
      <c r="B492" s="31">
        <v>40.200000000000003</v>
      </c>
      <c r="C492" s="1" t="s">
        <v>20</v>
      </c>
      <c r="D492" s="2">
        <v>42705</v>
      </c>
      <c r="E492" s="2">
        <v>42705</v>
      </c>
      <c r="F492" s="17">
        <v>1240000</v>
      </c>
      <c r="G492" s="17">
        <v>30845.77</v>
      </c>
      <c r="H492" s="31">
        <v>1</v>
      </c>
      <c r="I492" s="1" t="s">
        <v>21</v>
      </c>
      <c r="J492" s="1" t="s">
        <v>32</v>
      </c>
      <c r="K492" s="1"/>
      <c r="L492" s="1" t="s">
        <v>295</v>
      </c>
      <c r="M492" s="1"/>
      <c r="N492" s="31">
        <v>1</v>
      </c>
      <c r="O492" s="31">
        <v>1</v>
      </c>
      <c r="P492" s="32">
        <v>2002</v>
      </c>
    </row>
    <row r="493" spans="1:16" x14ac:dyDescent="0.25">
      <c r="A493" s="1" t="s">
        <v>315</v>
      </c>
      <c r="B493" s="31">
        <v>45.1</v>
      </c>
      <c r="C493" s="1" t="s">
        <v>20</v>
      </c>
      <c r="D493" s="2">
        <v>42675</v>
      </c>
      <c r="E493" s="2">
        <v>42675</v>
      </c>
      <c r="F493" s="17">
        <v>1400000</v>
      </c>
      <c r="G493" s="17">
        <v>31042.13</v>
      </c>
      <c r="H493" s="31">
        <v>1</v>
      </c>
      <c r="I493" s="1" t="s">
        <v>21</v>
      </c>
      <c r="J493" s="1" t="s">
        <v>22</v>
      </c>
      <c r="K493" s="1"/>
      <c r="L493" s="1" t="s">
        <v>295</v>
      </c>
      <c r="M493" s="1" t="s">
        <v>128</v>
      </c>
      <c r="N493" s="31">
        <v>2</v>
      </c>
      <c r="O493" s="31">
        <v>1</v>
      </c>
      <c r="P493" s="32">
        <v>1999</v>
      </c>
    </row>
    <row r="494" spans="1:16" x14ac:dyDescent="0.25">
      <c r="A494" s="1" t="s">
        <v>304</v>
      </c>
      <c r="B494" s="31">
        <v>32.200000000000003</v>
      </c>
      <c r="C494" s="1" t="s">
        <v>20</v>
      </c>
      <c r="D494" s="2">
        <v>42736</v>
      </c>
      <c r="E494" s="2">
        <v>42736</v>
      </c>
      <c r="F494" s="17">
        <v>1000000</v>
      </c>
      <c r="G494" s="17">
        <v>31055.9</v>
      </c>
      <c r="H494" s="31">
        <v>1</v>
      </c>
      <c r="I494" s="1" t="s">
        <v>21</v>
      </c>
      <c r="J494" s="1" t="s">
        <v>22</v>
      </c>
      <c r="K494" s="1"/>
      <c r="L494" s="1" t="s">
        <v>295</v>
      </c>
      <c r="M494" s="1" t="s">
        <v>308</v>
      </c>
      <c r="N494" s="31">
        <v>9</v>
      </c>
      <c r="O494" s="31">
        <v>1</v>
      </c>
      <c r="P494" s="32">
        <v>2005</v>
      </c>
    </row>
    <row r="495" spans="1:16" x14ac:dyDescent="0.25">
      <c r="A495" s="1" t="s">
        <v>298</v>
      </c>
      <c r="B495" s="31">
        <v>51.7</v>
      </c>
      <c r="C495" s="1" t="s">
        <v>20</v>
      </c>
      <c r="D495" s="2">
        <v>42767</v>
      </c>
      <c r="E495" s="2">
        <v>42795</v>
      </c>
      <c r="F495" s="17">
        <v>1620000</v>
      </c>
      <c r="G495" s="17">
        <v>31334.62</v>
      </c>
      <c r="H495" s="31">
        <v>1</v>
      </c>
      <c r="I495" s="1" t="s">
        <v>21</v>
      </c>
      <c r="J495" s="1" t="s">
        <v>22</v>
      </c>
      <c r="K495" s="1"/>
      <c r="L495" s="1" t="s">
        <v>295</v>
      </c>
      <c r="M495" s="1" t="s">
        <v>75</v>
      </c>
      <c r="N495" s="31">
        <v>8</v>
      </c>
      <c r="O495" s="31">
        <v>1</v>
      </c>
      <c r="P495" s="32">
        <v>2006</v>
      </c>
    </row>
    <row r="496" spans="1:16" x14ac:dyDescent="0.25">
      <c r="A496" s="1" t="s">
        <v>309</v>
      </c>
      <c r="B496" s="31">
        <v>50.4</v>
      </c>
      <c r="C496" s="1" t="s">
        <v>20</v>
      </c>
      <c r="D496" s="2">
        <v>42675</v>
      </c>
      <c r="E496" s="2">
        <v>42675</v>
      </c>
      <c r="F496" s="17">
        <v>1595000</v>
      </c>
      <c r="G496" s="17">
        <v>31646.83</v>
      </c>
      <c r="H496" s="31">
        <v>1</v>
      </c>
      <c r="I496" s="1" t="s">
        <v>21</v>
      </c>
      <c r="J496" s="1" t="s">
        <v>22</v>
      </c>
      <c r="K496" s="1"/>
      <c r="L496" s="1" t="s">
        <v>295</v>
      </c>
      <c r="M496" s="1"/>
      <c r="N496" s="31">
        <v>9</v>
      </c>
      <c r="O496" s="31">
        <v>1</v>
      </c>
      <c r="P496" s="32">
        <v>2010</v>
      </c>
    </row>
    <row r="497" spans="1:16" x14ac:dyDescent="0.25">
      <c r="A497" s="1" t="s">
        <v>296</v>
      </c>
      <c r="B497" s="31">
        <v>71.900000000000006</v>
      </c>
      <c r="C497" s="1" t="s">
        <v>20</v>
      </c>
      <c r="D497" s="2">
        <v>42675</v>
      </c>
      <c r="E497" s="2">
        <v>42675</v>
      </c>
      <c r="F497" s="17">
        <v>2280000</v>
      </c>
      <c r="G497" s="17">
        <v>31710.71</v>
      </c>
      <c r="H497" s="31">
        <v>1</v>
      </c>
      <c r="I497" s="1" t="s">
        <v>21</v>
      </c>
      <c r="J497" s="1" t="s">
        <v>22</v>
      </c>
      <c r="K497" s="1"/>
      <c r="L497" s="1" t="s">
        <v>295</v>
      </c>
      <c r="M497" s="1"/>
      <c r="N497" s="31">
        <v>3</v>
      </c>
      <c r="O497" s="31">
        <v>2</v>
      </c>
      <c r="P497" s="32">
        <v>2004</v>
      </c>
    </row>
    <row r="498" spans="1:16" x14ac:dyDescent="0.25">
      <c r="A498" s="1" t="s">
        <v>296</v>
      </c>
      <c r="B498" s="31">
        <v>71.900000000000006</v>
      </c>
      <c r="C498" s="1" t="s">
        <v>20</v>
      </c>
      <c r="D498" s="2">
        <v>42675</v>
      </c>
      <c r="E498" s="2">
        <v>42675</v>
      </c>
      <c r="F498" s="17">
        <v>2280000</v>
      </c>
      <c r="G498" s="17">
        <v>31710.71</v>
      </c>
      <c r="H498" s="31">
        <v>1</v>
      </c>
      <c r="I498" s="1" t="s">
        <v>21</v>
      </c>
      <c r="J498" s="1" t="s">
        <v>22</v>
      </c>
      <c r="K498" s="1"/>
      <c r="L498" s="1" t="s">
        <v>295</v>
      </c>
      <c r="M498" s="1"/>
      <c r="N498" s="31">
        <v>3</v>
      </c>
      <c r="O498" s="31">
        <v>2</v>
      </c>
      <c r="P498" s="32">
        <v>2004</v>
      </c>
    </row>
    <row r="499" spans="1:16" x14ac:dyDescent="0.25">
      <c r="A499" s="1" t="s">
        <v>296</v>
      </c>
      <c r="B499" s="31">
        <v>49.5</v>
      </c>
      <c r="C499" s="1" t="s">
        <v>20</v>
      </c>
      <c r="D499" s="2">
        <v>42644</v>
      </c>
      <c r="E499" s="2">
        <v>42644</v>
      </c>
      <c r="F499" s="17">
        <v>1570000</v>
      </c>
      <c r="G499" s="17">
        <v>31717.17</v>
      </c>
      <c r="H499" s="31">
        <v>1</v>
      </c>
      <c r="I499" s="1" t="s">
        <v>21</v>
      </c>
      <c r="J499" s="1" t="s">
        <v>22</v>
      </c>
      <c r="K499" s="1"/>
      <c r="L499" s="1" t="s">
        <v>295</v>
      </c>
      <c r="M499" s="1" t="s">
        <v>314</v>
      </c>
      <c r="N499" s="31">
        <v>5</v>
      </c>
      <c r="O499" s="31">
        <v>1</v>
      </c>
      <c r="P499" s="32">
        <v>2004</v>
      </c>
    </row>
    <row r="500" spans="1:16" x14ac:dyDescent="0.25">
      <c r="A500" s="1" t="s">
        <v>300</v>
      </c>
      <c r="B500" s="31">
        <v>39.700000000000003</v>
      </c>
      <c r="C500" s="1" t="s">
        <v>20</v>
      </c>
      <c r="D500" s="2">
        <v>42675</v>
      </c>
      <c r="E500" s="2">
        <v>42675</v>
      </c>
      <c r="F500" s="17">
        <v>1264000</v>
      </c>
      <c r="G500" s="17">
        <v>31838.79</v>
      </c>
      <c r="H500" s="31">
        <v>1</v>
      </c>
      <c r="I500" s="1" t="s">
        <v>21</v>
      </c>
      <c r="J500" s="1" t="s">
        <v>22</v>
      </c>
      <c r="K500" s="1"/>
      <c r="L500" s="1" t="s">
        <v>295</v>
      </c>
      <c r="M500" s="1"/>
      <c r="N500" s="31">
        <v>1</v>
      </c>
      <c r="O500" s="31">
        <v>1</v>
      </c>
      <c r="P500" s="32">
        <v>2009</v>
      </c>
    </row>
    <row r="501" spans="1:16" x14ac:dyDescent="0.25">
      <c r="A501" s="1" t="s">
        <v>320</v>
      </c>
      <c r="B501" s="31">
        <v>63.4</v>
      </c>
      <c r="C501" s="1" t="s">
        <v>20</v>
      </c>
      <c r="D501" s="2">
        <v>42644</v>
      </c>
      <c r="E501" s="2">
        <v>42644</v>
      </c>
      <c r="F501" s="17">
        <v>2020000</v>
      </c>
      <c r="G501" s="17">
        <v>31861.200000000001</v>
      </c>
      <c r="H501" s="31">
        <v>1</v>
      </c>
      <c r="I501" s="1" t="s">
        <v>21</v>
      </c>
      <c r="J501" s="1" t="s">
        <v>32</v>
      </c>
      <c r="K501" s="1"/>
      <c r="L501" s="1" t="s">
        <v>295</v>
      </c>
      <c r="M501" s="1" t="s">
        <v>166</v>
      </c>
      <c r="N501" s="31">
        <v>2</v>
      </c>
      <c r="O501" s="31">
        <v>1</v>
      </c>
      <c r="P501" s="32">
        <v>2003</v>
      </c>
    </row>
    <row r="502" spans="1:16" x14ac:dyDescent="0.25">
      <c r="A502" s="1" t="s">
        <v>313</v>
      </c>
      <c r="B502" s="31">
        <v>36.700000000000003</v>
      </c>
      <c r="C502" s="1" t="s">
        <v>20</v>
      </c>
      <c r="D502" s="2">
        <v>42705</v>
      </c>
      <c r="E502" s="2">
        <v>42705</v>
      </c>
      <c r="F502" s="17">
        <v>1169600</v>
      </c>
      <c r="G502" s="17">
        <v>31869.21</v>
      </c>
      <c r="H502" s="31">
        <v>1</v>
      </c>
      <c r="I502" s="1" t="s">
        <v>21</v>
      </c>
      <c r="J502" s="1" t="s">
        <v>32</v>
      </c>
      <c r="K502" s="1"/>
      <c r="L502" s="1" t="s">
        <v>295</v>
      </c>
      <c r="M502" s="1" t="s">
        <v>299</v>
      </c>
      <c r="N502" s="31">
        <v>4</v>
      </c>
      <c r="O502" s="31">
        <v>1</v>
      </c>
      <c r="P502" s="32">
        <v>1999</v>
      </c>
    </row>
    <row r="503" spans="1:16" x14ac:dyDescent="0.25">
      <c r="A503" s="1" t="s">
        <v>305</v>
      </c>
      <c r="B503" s="31">
        <v>36</v>
      </c>
      <c r="C503" s="1" t="s">
        <v>20</v>
      </c>
      <c r="D503" s="2">
        <v>42705</v>
      </c>
      <c r="E503" s="2">
        <v>42705</v>
      </c>
      <c r="F503" s="17">
        <v>1150000</v>
      </c>
      <c r="G503" s="17">
        <v>31944.44</v>
      </c>
      <c r="H503" s="31">
        <v>1</v>
      </c>
      <c r="I503" s="1" t="s">
        <v>21</v>
      </c>
      <c r="J503" s="1" t="s">
        <v>22</v>
      </c>
      <c r="K503" s="1"/>
      <c r="L503" s="1" t="s">
        <v>295</v>
      </c>
      <c r="M503" s="1" t="s">
        <v>324</v>
      </c>
      <c r="N503" s="31">
        <v>4</v>
      </c>
      <c r="O503" s="31">
        <v>1</v>
      </c>
      <c r="P503" s="32">
        <v>2008</v>
      </c>
    </row>
    <row r="504" spans="1:16" x14ac:dyDescent="0.25">
      <c r="A504" s="1" t="s">
        <v>306</v>
      </c>
      <c r="B504" s="31">
        <v>43.8</v>
      </c>
      <c r="C504" s="1" t="s">
        <v>20</v>
      </c>
      <c r="D504" s="2">
        <v>42644</v>
      </c>
      <c r="E504" s="2">
        <v>42644</v>
      </c>
      <c r="F504" s="17">
        <v>1400000</v>
      </c>
      <c r="G504" s="17">
        <v>31963.47</v>
      </c>
      <c r="H504" s="31">
        <v>1</v>
      </c>
      <c r="I504" s="1" t="s">
        <v>21</v>
      </c>
      <c r="J504" s="1" t="s">
        <v>22</v>
      </c>
      <c r="K504" s="1"/>
      <c r="L504" s="1" t="s">
        <v>295</v>
      </c>
      <c r="M504" s="1" t="s">
        <v>128</v>
      </c>
      <c r="N504" s="31">
        <v>3</v>
      </c>
      <c r="O504" s="31">
        <v>2</v>
      </c>
      <c r="P504" s="32">
        <v>2005</v>
      </c>
    </row>
    <row r="505" spans="1:16" x14ac:dyDescent="0.25">
      <c r="A505" s="1" t="s">
        <v>306</v>
      </c>
      <c r="B505" s="31">
        <v>43.8</v>
      </c>
      <c r="C505" s="1" t="s">
        <v>20</v>
      </c>
      <c r="D505" s="2">
        <v>42644</v>
      </c>
      <c r="E505" s="2">
        <v>42644</v>
      </c>
      <c r="F505" s="17">
        <v>1400000</v>
      </c>
      <c r="G505" s="17">
        <v>31963.47</v>
      </c>
      <c r="H505" s="31">
        <v>1</v>
      </c>
      <c r="I505" s="1" t="s">
        <v>21</v>
      </c>
      <c r="J505" s="1" t="s">
        <v>22</v>
      </c>
      <c r="K505" s="1"/>
      <c r="L505" s="1" t="s">
        <v>295</v>
      </c>
      <c r="M505" s="1" t="s">
        <v>128</v>
      </c>
      <c r="N505" s="31">
        <v>3</v>
      </c>
      <c r="O505" s="31">
        <v>2</v>
      </c>
      <c r="P505" s="32">
        <v>2005</v>
      </c>
    </row>
    <row r="506" spans="1:16" x14ac:dyDescent="0.25">
      <c r="A506" s="1" t="s">
        <v>309</v>
      </c>
      <c r="B506" s="31">
        <v>49.6</v>
      </c>
      <c r="C506" s="1" t="s">
        <v>20</v>
      </c>
      <c r="D506" s="2">
        <v>42614</v>
      </c>
      <c r="E506" s="2">
        <v>42644</v>
      </c>
      <c r="F506" s="17">
        <v>1590000</v>
      </c>
      <c r="G506" s="17">
        <v>32056.45</v>
      </c>
      <c r="H506" s="31">
        <v>1</v>
      </c>
      <c r="I506" s="1" t="s">
        <v>21</v>
      </c>
      <c r="J506" s="1" t="s">
        <v>22</v>
      </c>
      <c r="K506" s="1"/>
      <c r="L506" s="1" t="s">
        <v>295</v>
      </c>
      <c r="M506" s="1" t="s">
        <v>311</v>
      </c>
      <c r="N506" s="31">
        <v>9</v>
      </c>
      <c r="O506" s="31">
        <v>1</v>
      </c>
      <c r="P506" s="32">
        <v>2007</v>
      </c>
    </row>
    <row r="507" spans="1:16" x14ac:dyDescent="0.25">
      <c r="A507" s="1" t="s">
        <v>304</v>
      </c>
      <c r="B507" s="31">
        <v>31</v>
      </c>
      <c r="C507" s="1" t="s">
        <v>20</v>
      </c>
      <c r="D507" s="2">
        <v>42705</v>
      </c>
      <c r="E507" s="2">
        <v>42705</v>
      </c>
      <c r="F507" s="17">
        <v>1000000</v>
      </c>
      <c r="G507" s="17">
        <v>32258.06</v>
      </c>
      <c r="H507" s="31">
        <v>1</v>
      </c>
      <c r="I507" s="1" t="s">
        <v>21</v>
      </c>
      <c r="J507" s="1" t="s">
        <v>22</v>
      </c>
      <c r="K507" s="1"/>
      <c r="L507" s="1" t="s">
        <v>295</v>
      </c>
      <c r="M507" s="1" t="s">
        <v>299</v>
      </c>
      <c r="N507" s="31">
        <v>3</v>
      </c>
      <c r="O507" s="31">
        <v>1</v>
      </c>
      <c r="P507" s="32">
        <v>2006</v>
      </c>
    </row>
    <row r="508" spans="1:16" x14ac:dyDescent="0.25">
      <c r="A508" s="1" t="s">
        <v>304</v>
      </c>
      <c r="B508" s="31">
        <v>47.6</v>
      </c>
      <c r="C508" s="1" t="s">
        <v>20</v>
      </c>
      <c r="D508" s="2">
        <v>42705</v>
      </c>
      <c r="E508" s="2">
        <v>42705</v>
      </c>
      <c r="F508" s="17">
        <v>1540000</v>
      </c>
      <c r="G508" s="17">
        <v>32352.94</v>
      </c>
      <c r="H508" s="31">
        <v>1</v>
      </c>
      <c r="I508" s="1" t="s">
        <v>21</v>
      </c>
      <c r="J508" s="1" t="s">
        <v>22</v>
      </c>
      <c r="K508" s="1"/>
      <c r="L508" s="1" t="s">
        <v>295</v>
      </c>
      <c r="M508" s="1" t="s">
        <v>299</v>
      </c>
      <c r="N508" s="31">
        <v>1</v>
      </c>
      <c r="O508" s="31">
        <v>2</v>
      </c>
      <c r="P508" s="32">
        <v>2004</v>
      </c>
    </row>
    <row r="509" spans="1:16" x14ac:dyDescent="0.25">
      <c r="A509" s="1" t="s">
        <v>304</v>
      </c>
      <c r="B509" s="31">
        <v>47.6</v>
      </c>
      <c r="C509" s="1" t="s">
        <v>20</v>
      </c>
      <c r="D509" s="2">
        <v>42705</v>
      </c>
      <c r="E509" s="2">
        <v>42705</v>
      </c>
      <c r="F509" s="17">
        <v>1540000</v>
      </c>
      <c r="G509" s="17">
        <v>32352.94</v>
      </c>
      <c r="H509" s="31">
        <v>1</v>
      </c>
      <c r="I509" s="1" t="s">
        <v>21</v>
      </c>
      <c r="J509" s="1" t="s">
        <v>22</v>
      </c>
      <c r="K509" s="1"/>
      <c r="L509" s="1" t="s">
        <v>295</v>
      </c>
      <c r="M509" s="1" t="s">
        <v>299</v>
      </c>
      <c r="N509" s="31">
        <v>1</v>
      </c>
      <c r="O509" s="31">
        <v>2</v>
      </c>
      <c r="P509" s="32">
        <v>2004</v>
      </c>
    </row>
    <row r="510" spans="1:16" x14ac:dyDescent="0.25">
      <c r="A510" s="1" t="s">
        <v>319</v>
      </c>
      <c r="B510" s="31">
        <v>35.9</v>
      </c>
      <c r="C510" s="1" t="s">
        <v>20</v>
      </c>
      <c r="D510" s="2">
        <v>42767</v>
      </c>
      <c r="E510" s="2">
        <v>42767</v>
      </c>
      <c r="F510" s="17">
        <v>1164800</v>
      </c>
      <c r="G510" s="17">
        <v>32445.68</v>
      </c>
      <c r="H510" s="31">
        <v>1</v>
      </c>
      <c r="I510" s="1" t="s">
        <v>21</v>
      </c>
      <c r="J510" s="1" t="s">
        <v>22</v>
      </c>
      <c r="K510" s="1"/>
      <c r="L510" s="1" t="s">
        <v>295</v>
      </c>
      <c r="M510" s="1" t="s">
        <v>311</v>
      </c>
      <c r="N510" s="31">
        <v>9</v>
      </c>
      <c r="O510" s="31">
        <v>1</v>
      </c>
      <c r="P510" s="32">
        <v>2005</v>
      </c>
    </row>
    <row r="511" spans="1:16" x14ac:dyDescent="0.25">
      <c r="A511" s="1" t="s">
        <v>312</v>
      </c>
      <c r="B511" s="31">
        <v>38.799999999999997</v>
      </c>
      <c r="C511" s="1" t="s">
        <v>20</v>
      </c>
      <c r="D511" s="2">
        <v>42675</v>
      </c>
      <c r="E511" s="2">
        <v>42675</v>
      </c>
      <c r="F511" s="17">
        <v>1262000</v>
      </c>
      <c r="G511" s="17">
        <v>32525.77</v>
      </c>
      <c r="H511" s="31">
        <v>1</v>
      </c>
      <c r="I511" s="1" t="s">
        <v>21</v>
      </c>
      <c r="J511" s="1" t="s">
        <v>22</v>
      </c>
      <c r="K511" s="1"/>
      <c r="L511" s="1" t="s">
        <v>295</v>
      </c>
      <c r="M511" s="1" t="s">
        <v>297</v>
      </c>
      <c r="N511" s="31">
        <v>8</v>
      </c>
      <c r="O511" s="31">
        <v>1</v>
      </c>
      <c r="P511" s="32">
        <v>2006</v>
      </c>
    </row>
    <row r="512" spans="1:16" x14ac:dyDescent="0.25">
      <c r="A512" s="1" t="s">
        <v>322</v>
      </c>
      <c r="B512" s="31">
        <v>38.799999999999997</v>
      </c>
      <c r="C512" s="1" t="s">
        <v>20</v>
      </c>
      <c r="D512" s="2">
        <v>42705</v>
      </c>
      <c r="E512" s="2">
        <v>42705</v>
      </c>
      <c r="F512" s="17">
        <v>1264000</v>
      </c>
      <c r="G512" s="17">
        <v>32577.32</v>
      </c>
      <c r="H512" s="31">
        <v>1</v>
      </c>
      <c r="I512" s="1" t="s">
        <v>21</v>
      </c>
      <c r="J512" s="1" t="s">
        <v>22</v>
      </c>
      <c r="K512" s="1"/>
      <c r="L512" s="1" t="s">
        <v>295</v>
      </c>
      <c r="M512" s="1" t="s">
        <v>257</v>
      </c>
      <c r="N512" s="31">
        <v>5</v>
      </c>
      <c r="O512" s="31">
        <v>1</v>
      </c>
      <c r="P512" s="32">
        <v>2016</v>
      </c>
    </row>
    <row r="513" spans="1:16" x14ac:dyDescent="0.25">
      <c r="A513" s="1" t="s">
        <v>315</v>
      </c>
      <c r="B513" s="31">
        <v>45.9</v>
      </c>
      <c r="C513" s="1" t="s">
        <v>20</v>
      </c>
      <c r="D513" s="2">
        <v>42767</v>
      </c>
      <c r="E513" s="2">
        <v>42767</v>
      </c>
      <c r="F513" s="17">
        <v>1500000</v>
      </c>
      <c r="G513" s="17">
        <v>32679.74</v>
      </c>
      <c r="H513" s="31">
        <v>1</v>
      </c>
      <c r="I513" s="1" t="s">
        <v>21</v>
      </c>
      <c r="J513" s="1" t="s">
        <v>22</v>
      </c>
      <c r="K513" s="1"/>
      <c r="L513" s="1" t="s">
        <v>295</v>
      </c>
      <c r="M513" s="1" t="s">
        <v>194</v>
      </c>
      <c r="N513" s="31">
        <v>3</v>
      </c>
      <c r="O513" s="31">
        <v>1</v>
      </c>
      <c r="P513" s="32">
        <v>2011</v>
      </c>
    </row>
    <row r="514" spans="1:16" x14ac:dyDescent="0.25">
      <c r="A514" s="1" t="s">
        <v>321</v>
      </c>
      <c r="B514" s="31">
        <v>33.4</v>
      </c>
      <c r="C514" s="1" t="s">
        <v>20</v>
      </c>
      <c r="D514" s="2">
        <v>42675</v>
      </c>
      <c r="E514" s="2">
        <v>42675</v>
      </c>
      <c r="F514" s="17">
        <v>1100000</v>
      </c>
      <c r="G514" s="17">
        <v>32934.129999999997</v>
      </c>
      <c r="H514" s="31">
        <v>1</v>
      </c>
      <c r="I514" s="1" t="s">
        <v>21</v>
      </c>
      <c r="J514" s="1" t="s">
        <v>22</v>
      </c>
      <c r="K514" s="1"/>
      <c r="L514" s="1" t="s">
        <v>295</v>
      </c>
      <c r="M514" s="1" t="s">
        <v>130</v>
      </c>
      <c r="N514" s="31">
        <v>5</v>
      </c>
      <c r="O514" s="31">
        <v>1</v>
      </c>
      <c r="P514" s="32">
        <v>2005</v>
      </c>
    </row>
    <row r="515" spans="1:16" x14ac:dyDescent="0.25">
      <c r="A515" s="1" t="s">
        <v>296</v>
      </c>
      <c r="B515" s="31">
        <v>88.7</v>
      </c>
      <c r="C515" s="1" t="s">
        <v>20</v>
      </c>
      <c r="D515" s="2">
        <v>42705</v>
      </c>
      <c r="E515" s="2">
        <v>42705</v>
      </c>
      <c r="F515" s="17">
        <v>2949000</v>
      </c>
      <c r="G515" s="17">
        <v>33246.9</v>
      </c>
      <c r="H515" s="31">
        <v>1</v>
      </c>
      <c r="I515" s="1" t="s">
        <v>21</v>
      </c>
      <c r="J515" s="1" t="s">
        <v>22</v>
      </c>
      <c r="K515" s="1"/>
      <c r="L515" s="1" t="s">
        <v>295</v>
      </c>
      <c r="M515" s="1" t="s">
        <v>297</v>
      </c>
      <c r="N515" s="31">
        <v>2</v>
      </c>
      <c r="O515" s="31">
        <v>1</v>
      </c>
      <c r="P515" s="32">
        <v>2002</v>
      </c>
    </row>
    <row r="516" spans="1:16" x14ac:dyDescent="0.25">
      <c r="A516" s="1" t="s">
        <v>296</v>
      </c>
      <c r="B516" s="31">
        <v>52.6</v>
      </c>
      <c r="C516" s="1" t="s">
        <v>20</v>
      </c>
      <c r="D516" s="2">
        <v>42644</v>
      </c>
      <c r="E516" s="2">
        <v>42675</v>
      </c>
      <c r="F516" s="17">
        <v>1750000</v>
      </c>
      <c r="G516" s="17">
        <v>33269.96</v>
      </c>
      <c r="H516" s="31">
        <v>1</v>
      </c>
      <c r="I516" s="1" t="s">
        <v>21</v>
      </c>
      <c r="J516" s="1" t="s">
        <v>22</v>
      </c>
      <c r="K516" s="1"/>
      <c r="L516" s="1" t="s">
        <v>295</v>
      </c>
      <c r="M516" s="1"/>
      <c r="N516" s="31">
        <v>9</v>
      </c>
      <c r="O516" s="31">
        <v>1</v>
      </c>
      <c r="P516" s="32">
        <v>2004</v>
      </c>
    </row>
    <row r="517" spans="1:16" x14ac:dyDescent="0.25">
      <c r="A517" s="1" t="s">
        <v>304</v>
      </c>
      <c r="B517" s="31">
        <v>60.1</v>
      </c>
      <c r="C517" s="1" t="s">
        <v>20</v>
      </c>
      <c r="D517" s="2">
        <v>42736</v>
      </c>
      <c r="E517" s="2">
        <v>42736</v>
      </c>
      <c r="F517" s="17">
        <v>2000000</v>
      </c>
      <c r="G517" s="17">
        <v>33277.870000000003</v>
      </c>
      <c r="H517" s="31">
        <v>1</v>
      </c>
      <c r="I517" s="1" t="s">
        <v>21</v>
      </c>
      <c r="J517" s="1" t="s">
        <v>22</v>
      </c>
      <c r="K517" s="1"/>
      <c r="L517" s="1" t="s">
        <v>295</v>
      </c>
      <c r="M517" s="1" t="s">
        <v>308</v>
      </c>
      <c r="N517" s="31">
        <v>4</v>
      </c>
      <c r="O517" s="31">
        <v>1</v>
      </c>
      <c r="P517" s="32">
        <v>2003</v>
      </c>
    </row>
    <row r="518" spans="1:16" x14ac:dyDescent="0.25">
      <c r="A518" s="1" t="s">
        <v>306</v>
      </c>
      <c r="B518" s="31">
        <v>32.4</v>
      </c>
      <c r="C518" s="1" t="s">
        <v>20</v>
      </c>
      <c r="D518" s="2">
        <v>42675</v>
      </c>
      <c r="E518" s="2">
        <v>42705</v>
      </c>
      <c r="F518" s="17">
        <v>1080000</v>
      </c>
      <c r="G518" s="17">
        <v>33333.33</v>
      </c>
      <c r="H518" s="31">
        <v>1</v>
      </c>
      <c r="I518" s="1" t="s">
        <v>21</v>
      </c>
      <c r="J518" s="1" t="s">
        <v>32</v>
      </c>
      <c r="K518" s="1"/>
      <c r="L518" s="1" t="s">
        <v>295</v>
      </c>
      <c r="M518" s="1" t="s">
        <v>128</v>
      </c>
      <c r="N518" s="31">
        <v>3</v>
      </c>
      <c r="O518" s="31">
        <v>1</v>
      </c>
      <c r="P518" s="32">
        <v>2005</v>
      </c>
    </row>
    <row r="519" spans="1:16" x14ac:dyDescent="0.25">
      <c r="A519" s="1" t="s">
        <v>333</v>
      </c>
      <c r="B519" s="31">
        <v>33.6</v>
      </c>
      <c r="C519" s="1" t="s">
        <v>20</v>
      </c>
      <c r="D519" s="2">
        <v>42795</v>
      </c>
      <c r="E519" s="2">
        <v>42795</v>
      </c>
      <c r="F519" s="17">
        <v>1120000</v>
      </c>
      <c r="G519" s="17">
        <v>33333.33</v>
      </c>
      <c r="H519" s="31">
        <v>1</v>
      </c>
      <c r="I519" s="1" t="s">
        <v>21</v>
      </c>
      <c r="J519" s="1" t="s">
        <v>22</v>
      </c>
      <c r="K519" s="1"/>
      <c r="L519" s="1" t="s">
        <v>295</v>
      </c>
      <c r="M519" s="1" t="s">
        <v>336</v>
      </c>
      <c r="N519" s="31">
        <v>3</v>
      </c>
      <c r="O519" s="31">
        <v>1</v>
      </c>
      <c r="P519" s="32">
        <v>2001</v>
      </c>
    </row>
    <row r="520" spans="1:16" x14ac:dyDescent="0.25">
      <c r="A520" s="1" t="s">
        <v>312</v>
      </c>
      <c r="B520" s="31">
        <v>40.200000000000003</v>
      </c>
      <c r="C520" s="1" t="s">
        <v>20</v>
      </c>
      <c r="D520" s="2">
        <v>42675</v>
      </c>
      <c r="E520" s="2">
        <v>42675</v>
      </c>
      <c r="F520" s="17">
        <v>1350000</v>
      </c>
      <c r="G520" s="17">
        <v>33582.089999999997</v>
      </c>
      <c r="H520" s="31">
        <v>1</v>
      </c>
      <c r="I520" s="1" t="s">
        <v>21</v>
      </c>
      <c r="J520" s="1" t="s">
        <v>22</v>
      </c>
      <c r="K520" s="1"/>
      <c r="L520" s="1" t="s">
        <v>295</v>
      </c>
      <c r="M520" s="1" t="s">
        <v>297</v>
      </c>
      <c r="N520" s="31">
        <v>1</v>
      </c>
      <c r="O520" s="31">
        <v>2</v>
      </c>
      <c r="P520" s="32">
        <v>2010</v>
      </c>
    </row>
    <row r="521" spans="1:16" x14ac:dyDescent="0.25">
      <c r="A521" s="1" t="s">
        <v>312</v>
      </c>
      <c r="B521" s="31">
        <v>40.200000000000003</v>
      </c>
      <c r="C521" s="1" t="s">
        <v>20</v>
      </c>
      <c r="D521" s="2">
        <v>42675</v>
      </c>
      <c r="E521" s="2">
        <v>42675</v>
      </c>
      <c r="F521" s="17">
        <v>1350000</v>
      </c>
      <c r="G521" s="17">
        <v>33582.089999999997</v>
      </c>
      <c r="H521" s="31">
        <v>1</v>
      </c>
      <c r="I521" s="1" t="s">
        <v>21</v>
      </c>
      <c r="J521" s="1" t="s">
        <v>22</v>
      </c>
      <c r="K521" s="1"/>
      <c r="L521" s="1" t="s">
        <v>295</v>
      </c>
      <c r="M521" s="1" t="s">
        <v>297</v>
      </c>
      <c r="N521" s="31">
        <v>1</v>
      </c>
      <c r="O521" s="31">
        <v>2</v>
      </c>
      <c r="P521" s="32">
        <v>2010</v>
      </c>
    </row>
    <row r="522" spans="1:16" x14ac:dyDescent="0.25">
      <c r="A522" s="1" t="s">
        <v>316</v>
      </c>
      <c r="B522" s="31">
        <v>27.8</v>
      </c>
      <c r="C522" s="1" t="s">
        <v>20</v>
      </c>
      <c r="D522" s="2">
        <v>42767</v>
      </c>
      <c r="E522" s="2">
        <v>42795</v>
      </c>
      <c r="F522" s="17">
        <v>937500</v>
      </c>
      <c r="G522" s="17">
        <v>33723.019999999997</v>
      </c>
      <c r="H522" s="31">
        <v>1</v>
      </c>
      <c r="I522" s="1" t="s">
        <v>21</v>
      </c>
      <c r="J522" s="1" t="s">
        <v>22</v>
      </c>
      <c r="K522" s="1"/>
      <c r="L522" s="1" t="s">
        <v>295</v>
      </c>
      <c r="M522" s="1" t="s">
        <v>126</v>
      </c>
      <c r="N522" s="31">
        <v>2</v>
      </c>
      <c r="O522" s="31">
        <v>1</v>
      </c>
      <c r="P522" s="32">
        <v>2017</v>
      </c>
    </row>
    <row r="523" spans="1:16" x14ac:dyDescent="0.25">
      <c r="A523" s="1" t="s">
        <v>304</v>
      </c>
      <c r="B523" s="31">
        <v>31.1</v>
      </c>
      <c r="C523" s="1" t="s">
        <v>20</v>
      </c>
      <c r="D523" s="2">
        <v>42767</v>
      </c>
      <c r="E523" s="2">
        <v>42767</v>
      </c>
      <c r="F523" s="17">
        <v>1050000</v>
      </c>
      <c r="G523" s="17">
        <v>33762.06</v>
      </c>
      <c r="H523" s="31">
        <v>1</v>
      </c>
      <c r="I523" s="1" t="s">
        <v>21</v>
      </c>
      <c r="J523" s="1" t="s">
        <v>22</v>
      </c>
      <c r="K523" s="1"/>
      <c r="L523" s="1" t="s">
        <v>295</v>
      </c>
      <c r="M523" s="1" t="s">
        <v>194</v>
      </c>
      <c r="N523" s="31">
        <v>3</v>
      </c>
      <c r="O523" s="31">
        <v>1</v>
      </c>
      <c r="P523" s="32">
        <v>2006</v>
      </c>
    </row>
    <row r="524" spans="1:16" x14ac:dyDescent="0.25">
      <c r="A524" s="1" t="s">
        <v>304</v>
      </c>
      <c r="B524" s="31">
        <v>45</v>
      </c>
      <c r="C524" s="1" t="s">
        <v>20</v>
      </c>
      <c r="D524" s="2">
        <v>42795</v>
      </c>
      <c r="E524" s="2">
        <v>42795</v>
      </c>
      <c r="F524" s="17">
        <v>1520000</v>
      </c>
      <c r="G524" s="17">
        <v>33777.78</v>
      </c>
      <c r="H524" s="31">
        <v>1</v>
      </c>
      <c r="I524" s="1" t="s">
        <v>21</v>
      </c>
      <c r="J524" s="1" t="s">
        <v>22</v>
      </c>
      <c r="K524" s="1"/>
      <c r="L524" s="1" t="s">
        <v>295</v>
      </c>
      <c r="M524" s="1" t="s">
        <v>194</v>
      </c>
      <c r="N524" s="31">
        <v>2</v>
      </c>
      <c r="O524" s="31">
        <v>1</v>
      </c>
      <c r="P524" s="32">
        <v>2004</v>
      </c>
    </row>
    <row r="525" spans="1:16" x14ac:dyDescent="0.25">
      <c r="A525" s="1" t="s">
        <v>309</v>
      </c>
      <c r="B525" s="31">
        <v>68.2</v>
      </c>
      <c r="C525" s="1" t="s">
        <v>20</v>
      </c>
      <c r="D525" s="2">
        <v>42675</v>
      </c>
      <c r="E525" s="2">
        <v>42705</v>
      </c>
      <c r="F525" s="17">
        <v>2320000</v>
      </c>
      <c r="G525" s="17">
        <v>34017.599999999999</v>
      </c>
      <c r="H525" s="31">
        <v>1</v>
      </c>
      <c r="I525" s="1" t="s">
        <v>21</v>
      </c>
      <c r="J525" s="1" t="s">
        <v>22</v>
      </c>
      <c r="K525" s="1"/>
      <c r="L525" s="1" t="s">
        <v>295</v>
      </c>
      <c r="M525" s="1" t="s">
        <v>311</v>
      </c>
      <c r="N525" s="31">
        <v>3</v>
      </c>
      <c r="O525" s="31">
        <v>1</v>
      </c>
      <c r="P525" s="32">
        <v>2012</v>
      </c>
    </row>
    <row r="526" spans="1:16" x14ac:dyDescent="0.25">
      <c r="A526" s="1" t="s">
        <v>305</v>
      </c>
      <c r="B526" s="31">
        <v>43.5</v>
      </c>
      <c r="C526" s="1" t="s">
        <v>20</v>
      </c>
      <c r="D526" s="2">
        <v>42705</v>
      </c>
      <c r="E526" s="2">
        <v>42705</v>
      </c>
      <c r="F526" s="17">
        <v>1500000</v>
      </c>
      <c r="G526" s="17">
        <v>34482.76</v>
      </c>
      <c r="H526" s="31">
        <v>1</v>
      </c>
      <c r="I526" s="1" t="s">
        <v>21</v>
      </c>
      <c r="J526" s="1" t="s">
        <v>22</v>
      </c>
      <c r="K526" s="1"/>
      <c r="L526" s="1" t="s">
        <v>295</v>
      </c>
      <c r="M526" s="1" t="s">
        <v>324</v>
      </c>
      <c r="N526" s="31">
        <v>3</v>
      </c>
      <c r="O526" s="31">
        <v>1</v>
      </c>
      <c r="P526" s="32">
        <v>2003</v>
      </c>
    </row>
    <row r="527" spans="1:16" x14ac:dyDescent="0.25">
      <c r="A527" s="1" t="s">
        <v>328</v>
      </c>
      <c r="B527" s="31">
        <v>44.8</v>
      </c>
      <c r="C527" s="1" t="s">
        <v>20</v>
      </c>
      <c r="D527" s="2">
        <v>42795</v>
      </c>
      <c r="E527" s="2">
        <v>42795</v>
      </c>
      <c r="F527" s="17">
        <v>1550000</v>
      </c>
      <c r="G527" s="17">
        <v>34598.21</v>
      </c>
      <c r="H527" s="31">
        <v>1</v>
      </c>
      <c r="I527" s="1" t="s">
        <v>21</v>
      </c>
      <c r="J527" s="1" t="s">
        <v>22</v>
      </c>
      <c r="K527" s="1"/>
      <c r="L527" s="1" t="s">
        <v>295</v>
      </c>
      <c r="M527" s="1" t="s">
        <v>75</v>
      </c>
      <c r="N527" s="31">
        <v>2</v>
      </c>
      <c r="O527" s="31">
        <v>2</v>
      </c>
      <c r="P527" s="32">
        <v>2004</v>
      </c>
    </row>
    <row r="528" spans="1:16" x14ac:dyDescent="0.25">
      <c r="A528" s="1" t="s">
        <v>316</v>
      </c>
      <c r="B528" s="31">
        <v>30.9</v>
      </c>
      <c r="C528" s="1" t="s">
        <v>20</v>
      </c>
      <c r="D528" s="2">
        <v>42705</v>
      </c>
      <c r="E528" s="2">
        <v>42705</v>
      </c>
      <c r="F528" s="17">
        <v>1070000</v>
      </c>
      <c r="G528" s="17">
        <v>34627.83</v>
      </c>
      <c r="H528" s="31">
        <v>1</v>
      </c>
      <c r="I528" s="1" t="s">
        <v>21</v>
      </c>
      <c r="J528" s="1" t="s">
        <v>22</v>
      </c>
      <c r="K528" s="1"/>
      <c r="L528" s="1" t="s">
        <v>295</v>
      </c>
      <c r="M528" s="1" t="s">
        <v>128</v>
      </c>
      <c r="N528" s="31">
        <v>2</v>
      </c>
      <c r="O528" s="31">
        <v>1</v>
      </c>
      <c r="P528" s="32">
        <v>2006</v>
      </c>
    </row>
    <row r="529" spans="1:16" x14ac:dyDescent="0.25">
      <c r="A529" s="1" t="s">
        <v>321</v>
      </c>
      <c r="B529" s="31">
        <v>46.2</v>
      </c>
      <c r="C529" s="1" t="s">
        <v>20</v>
      </c>
      <c r="D529" s="2">
        <v>42644</v>
      </c>
      <c r="E529" s="2">
        <v>42644</v>
      </c>
      <c r="F529" s="17">
        <v>1600000</v>
      </c>
      <c r="G529" s="17">
        <v>34632.03</v>
      </c>
      <c r="H529" s="31">
        <v>1</v>
      </c>
      <c r="I529" s="1" t="s">
        <v>21</v>
      </c>
      <c r="J529" s="1" t="s">
        <v>22</v>
      </c>
      <c r="K529" s="1"/>
      <c r="L529" s="1" t="s">
        <v>295</v>
      </c>
      <c r="M529" s="1" t="s">
        <v>194</v>
      </c>
      <c r="N529" s="31">
        <v>3</v>
      </c>
      <c r="O529" s="31">
        <v>1</v>
      </c>
      <c r="P529" s="32">
        <v>2009</v>
      </c>
    </row>
    <row r="530" spans="1:16" x14ac:dyDescent="0.25">
      <c r="A530" s="1" t="s">
        <v>326</v>
      </c>
      <c r="B530" s="31">
        <v>72.8</v>
      </c>
      <c r="C530" s="1" t="s">
        <v>20</v>
      </c>
      <c r="D530" s="2">
        <v>42795</v>
      </c>
      <c r="E530" s="2">
        <v>42795</v>
      </c>
      <c r="F530" s="17">
        <v>2556800</v>
      </c>
      <c r="G530" s="17">
        <v>35120.879999999997</v>
      </c>
      <c r="H530" s="31">
        <v>1</v>
      </c>
      <c r="I530" s="1" t="s">
        <v>21</v>
      </c>
      <c r="J530" s="1" t="s">
        <v>22</v>
      </c>
      <c r="K530" s="1"/>
      <c r="L530" s="1" t="s">
        <v>295</v>
      </c>
      <c r="M530" s="1" t="s">
        <v>329</v>
      </c>
      <c r="N530" s="31">
        <v>1</v>
      </c>
      <c r="O530" s="31">
        <v>1</v>
      </c>
      <c r="P530" s="32">
        <v>2016</v>
      </c>
    </row>
    <row r="531" spans="1:16" x14ac:dyDescent="0.25">
      <c r="A531" s="1" t="s">
        <v>309</v>
      </c>
      <c r="B531" s="31">
        <v>40.4</v>
      </c>
      <c r="C531" s="1" t="s">
        <v>20</v>
      </c>
      <c r="D531" s="2">
        <v>42675</v>
      </c>
      <c r="E531" s="2">
        <v>42675</v>
      </c>
      <c r="F531" s="17">
        <v>1430000</v>
      </c>
      <c r="G531" s="17">
        <v>35396.04</v>
      </c>
      <c r="H531" s="31">
        <v>1</v>
      </c>
      <c r="I531" s="1" t="s">
        <v>21</v>
      </c>
      <c r="J531" s="1" t="s">
        <v>22</v>
      </c>
      <c r="K531" s="1"/>
      <c r="L531" s="1" t="s">
        <v>295</v>
      </c>
      <c r="M531" s="1" t="s">
        <v>323</v>
      </c>
      <c r="N531" s="31">
        <v>3</v>
      </c>
      <c r="O531" s="31">
        <v>2</v>
      </c>
      <c r="P531" s="32">
        <v>2007</v>
      </c>
    </row>
    <row r="532" spans="1:16" x14ac:dyDescent="0.25">
      <c r="A532" s="1" t="s">
        <v>309</v>
      </c>
      <c r="B532" s="31">
        <v>40.4</v>
      </c>
      <c r="C532" s="1" t="s">
        <v>20</v>
      </c>
      <c r="D532" s="2">
        <v>42675</v>
      </c>
      <c r="E532" s="2">
        <v>42675</v>
      </c>
      <c r="F532" s="17">
        <v>1430000</v>
      </c>
      <c r="G532" s="17">
        <v>35396.04</v>
      </c>
      <c r="H532" s="31">
        <v>1</v>
      </c>
      <c r="I532" s="1" t="s">
        <v>21</v>
      </c>
      <c r="J532" s="1" t="s">
        <v>22</v>
      </c>
      <c r="K532" s="1"/>
      <c r="L532" s="1" t="s">
        <v>295</v>
      </c>
      <c r="M532" s="1" t="s">
        <v>323</v>
      </c>
      <c r="N532" s="31">
        <v>3</v>
      </c>
      <c r="O532" s="31">
        <v>2</v>
      </c>
      <c r="P532" s="32">
        <v>2007</v>
      </c>
    </row>
    <row r="533" spans="1:16" x14ac:dyDescent="0.25">
      <c r="A533" s="1" t="s">
        <v>310</v>
      </c>
      <c r="B533" s="31">
        <v>33.799999999999997</v>
      </c>
      <c r="C533" s="1" t="s">
        <v>20</v>
      </c>
      <c r="D533" s="2">
        <v>42644</v>
      </c>
      <c r="E533" s="2">
        <v>42644</v>
      </c>
      <c r="F533" s="17">
        <v>1210000</v>
      </c>
      <c r="G533" s="17">
        <v>35798.82</v>
      </c>
      <c r="H533" s="31">
        <v>1</v>
      </c>
      <c r="I533" s="1" t="s">
        <v>21</v>
      </c>
      <c r="J533" s="1" t="s">
        <v>22</v>
      </c>
      <c r="K533" s="1"/>
      <c r="L533" s="1" t="s">
        <v>295</v>
      </c>
      <c r="M533" s="1" t="s">
        <v>194</v>
      </c>
      <c r="N533" s="31">
        <v>4</v>
      </c>
      <c r="O533" s="31">
        <v>1</v>
      </c>
      <c r="P533" s="32">
        <v>2004</v>
      </c>
    </row>
    <row r="534" spans="1:16" x14ac:dyDescent="0.25">
      <c r="A534" s="1" t="s">
        <v>326</v>
      </c>
      <c r="B534" s="31">
        <v>35</v>
      </c>
      <c r="C534" s="1" t="s">
        <v>20</v>
      </c>
      <c r="D534" s="2">
        <v>42767</v>
      </c>
      <c r="E534" s="2">
        <v>42767</v>
      </c>
      <c r="F534" s="17">
        <v>1258000</v>
      </c>
      <c r="G534" s="17">
        <v>35942.86</v>
      </c>
      <c r="H534" s="31">
        <v>1</v>
      </c>
      <c r="I534" s="1" t="s">
        <v>21</v>
      </c>
      <c r="J534" s="1" t="s">
        <v>22</v>
      </c>
      <c r="K534" s="1"/>
      <c r="L534" s="1" t="s">
        <v>295</v>
      </c>
      <c r="M534" s="1" t="s">
        <v>329</v>
      </c>
      <c r="N534" s="31">
        <v>1</v>
      </c>
      <c r="O534" s="31">
        <v>1</v>
      </c>
      <c r="P534" s="32">
        <v>2016</v>
      </c>
    </row>
    <row r="535" spans="1:16" x14ac:dyDescent="0.25">
      <c r="A535" s="1" t="s">
        <v>296</v>
      </c>
      <c r="B535" s="31">
        <v>35.6</v>
      </c>
      <c r="C535" s="1" t="s">
        <v>20</v>
      </c>
      <c r="D535" s="2">
        <v>42705</v>
      </c>
      <c r="E535" s="2">
        <v>42705</v>
      </c>
      <c r="F535" s="17">
        <v>1287828</v>
      </c>
      <c r="G535" s="17">
        <v>36174.94</v>
      </c>
      <c r="H535" s="31">
        <v>1</v>
      </c>
      <c r="I535" s="1" t="s">
        <v>21</v>
      </c>
      <c r="J535" s="1" t="s">
        <v>22</v>
      </c>
      <c r="K535" s="1"/>
      <c r="L535" s="1" t="s">
        <v>295</v>
      </c>
      <c r="M535" s="1" t="s">
        <v>297</v>
      </c>
      <c r="N535" s="31">
        <v>2</v>
      </c>
      <c r="O535" s="31">
        <v>1</v>
      </c>
      <c r="P535" s="32">
        <v>2005</v>
      </c>
    </row>
    <row r="536" spans="1:16" x14ac:dyDescent="0.25">
      <c r="A536" s="1" t="s">
        <v>326</v>
      </c>
      <c r="B536" s="31">
        <v>28.7</v>
      </c>
      <c r="C536" s="1" t="s">
        <v>20</v>
      </c>
      <c r="D536" s="2">
        <v>42767</v>
      </c>
      <c r="E536" s="2">
        <v>42767</v>
      </c>
      <c r="F536" s="17">
        <v>1043800</v>
      </c>
      <c r="G536" s="17">
        <v>36369.339999999997</v>
      </c>
      <c r="H536" s="31">
        <v>1</v>
      </c>
      <c r="I536" s="1" t="s">
        <v>21</v>
      </c>
      <c r="J536" s="1" t="s">
        <v>22</v>
      </c>
      <c r="K536" s="1"/>
      <c r="L536" s="1" t="s">
        <v>295</v>
      </c>
      <c r="M536" s="1" t="s">
        <v>329</v>
      </c>
      <c r="N536" s="31">
        <v>1</v>
      </c>
      <c r="O536" s="31">
        <v>1</v>
      </c>
      <c r="P536" s="32">
        <v>2016</v>
      </c>
    </row>
    <row r="537" spans="1:16" x14ac:dyDescent="0.25">
      <c r="A537" s="1" t="s">
        <v>309</v>
      </c>
      <c r="B537" s="31">
        <v>40.5</v>
      </c>
      <c r="C537" s="1" t="s">
        <v>20</v>
      </c>
      <c r="D537" s="2">
        <v>42644</v>
      </c>
      <c r="E537" s="2">
        <v>42644</v>
      </c>
      <c r="F537" s="17">
        <v>1500000</v>
      </c>
      <c r="G537" s="17">
        <v>37037.040000000001</v>
      </c>
      <c r="H537" s="31">
        <v>1</v>
      </c>
      <c r="I537" s="1" t="s">
        <v>21</v>
      </c>
      <c r="J537" s="1" t="s">
        <v>22</v>
      </c>
      <c r="K537" s="1"/>
      <c r="L537" s="1" t="s">
        <v>295</v>
      </c>
      <c r="M537" s="1" t="s">
        <v>194</v>
      </c>
      <c r="N537" s="31">
        <v>4</v>
      </c>
      <c r="O537" s="31">
        <v>1</v>
      </c>
      <c r="P537" s="32">
        <v>2003</v>
      </c>
    </row>
    <row r="538" spans="1:16" x14ac:dyDescent="0.25">
      <c r="A538" s="1" t="s">
        <v>298</v>
      </c>
      <c r="B538" s="31">
        <v>49.9</v>
      </c>
      <c r="C538" s="1" t="s">
        <v>20</v>
      </c>
      <c r="D538" s="2">
        <v>42644</v>
      </c>
      <c r="E538" s="2">
        <v>42644</v>
      </c>
      <c r="F538" s="17">
        <v>1880000</v>
      </c>
      <c r="G538" s="17">
        <v>37675.35</v>
      </c>
      <c r="H538" s="31">
        <v>1</v>
      </c>
      <c r="I538" s="1" t="s">
        <v>21</v>
      </c>
      <c r="J538" s="1" t="s">
        <v>32</v>
      </c>
      <c r="K538" s="1"/>
      <c r="L538" s="1" t="s">
        <v>295</v>
      </c>
      <c r="M538" s="1" t="s">
        <v>311</v>
      </c>
      <c r="N538" s="31">
        <v>5</v>
      </c>
      <c r="O538" s="31">
        <v>2</v>
      </c>
      <c r="P538" s="32">
        <v>2002</v>
      </c>
    </row>
    <row r="539" spans="1:16" x14ac:dyDescent="0.25">
      <c r="A539" s="1" t="s">
        <v>298</v>
      </c>
      <c r="B539" s="31">
        <v>49.9</v>
      </c>
      <c r="C539" s="1" t="s">
        <v>20</v>
      </c>
      <c r="D539" s="2">
        <v>42644</v>
      </c>
      <c r="E539" s="2">
        <v>42644</v>
      </c>
      <c r="F539" s="17">
        <v>1880000</v>
      </c>
      <c r="G539" s="17">
        <v>37675.35</v>
      </c>
      <c r="H539" s="31">
        <v>1</v>
      </c>
      <c r="I539" s="1" t="s">
        <v>21</v>
      </c>
      <c r="J539" s="1" t="s">
        <v>32</v>
      </c>
      <c r="K539" s="1"/>
      <c r="L539" s="1" t="s">
        <v>295</v>
      </c>
      <c r="M539" s="1" t="s">
        <v>311</v>
      </c>
      <c r="N539" s="31">
        <v>5</v>
      </c>
      <c r="O539" s="31">
        <v>2</v>
      </c>
      <c r="P539" s="32">
        <v>2002</v>
      </c>
    </row>
    <row r="540" spans="1:16" x14ac:dyDescent="0.25">
      <c r="A540" s="1" t="s">
        <v>312</v>
      </c>
      <c r="B540" s="31">
        <v>59.8</v>
      </c>
      <c r="C540" s="1" t="s">
        <v>20</v>
      </c>
      <c r="D540" s="2">
        <v>42705</v>
      </c>
      <c r="E540" s="2">
        <v>42705</v>
      </c>
      <c r="F540" s="17">
        <v>2280000</v>
      </c>
      <c r="G540" s="17">
        <v>38127.089999999997</v>
      </c>
      <c r="H540" s="31">
        <v>1</v>
      </c>
      <c r="I540" s="1" t="s">
        <v>21</v>
      </c>
      <c r="J540" s="1" t="s">
        <v>22</v>
      </c>
      <c r="K540" s="1"/>
      <c r="L540" s="1" t="s">
        <v>295</v>
      </c>
      <c r="M540" s="1" t="s">
        <v>297</v>
      </c>
      <c r="N540" s="31">
        <v>5</v>
      </c>
      <c r="O540" s="31">
        <v>1</v>
      </c>
      <c r="P540" s="32">
        <v>2005</v>
      </c>
    </row>
    <row r="541" spans="1:16" x14ac:dyDescent="0.25">
      <c r="A541" s="1" t="s">
        <v>300</v>
      </c>
      <c r="B541" s="31">
        <v>66.900000000000006</v>
      </c>
      <c r="C541" s="1" t="s">
        <v>20</v>
      </c>
      <c r="D541" s="2">
        <v>42675</v>
      </c>
      <c r="E541" s="2">
        <v>42675</v>
      </c>
      <c r="F541" s="17">
        <v>2600000</v>
      </c>
      <c r="G541" s="17">
        <v>38863.980000000003</v>
      </c>
      <c r="H541" s="31">
        <v>1</v>
      </c>
      <c r="I541" s="1" t="s">
        <v>21</v>
      </c>
      <c r="J541" s="1" t="s">
        <v>32</v>
      </c>
      <c r="K541" s="1"/>
      <c r="L541" s="1" t="s">
        <v>295</v>
      </c>
      <c r="M541" s="1" t="s">
        <v>299</v>
      </c>
      <c r="N541" s="31">
        <v>6</v>
      </c>
      <c r="O541" s="31">
        <v>1</v>
      </c>
      <c r="P541" s="32">
        <v>2004</v>
      </c>
    </row>
    <row r="542" spans="1:16" x14ac:dyDescent="0.25">
      <c r="A542" s="1" t="s">
        <v>309</v>
      </c>
      <c r="B542" s="31">
        <v>29.8</v>
      </c>
      <c r="C542" s="1" t="s">
        <v>20</v>
      </c>
      <c r="D542" s="2">
        <v>42767</v>
      </c>
      <c r="E542" s="2">
        <v>42767</v>
      </c>
      <c r="F542" s="17">
        <v>1200000</v>
      </c>
      <c r="G542" s="17">
        <v>40268.46</v>
      </c>
      <c r="H542" s="31">
        <v>1</v>
      </c>
      <c r="I542" s="1" t="s">
        <v>21</v>
      </c>
      <c r="J542" s="1" t="s">
        <v>22</v>
      </c>
      <c r="K542" s="1"/>
      <c r="L542" s="1" t="s">
        <v>295</v>
      </c>
      <c r="M542" s="1" t="s">
        <v>194</v>
      </c>
      <c r="N542" s="31">
        <v>4</v>
      </c>
      <c r="O542" s="31">
        <v>1</v>
      </c>
      <c r="P542" s="32">
        <v>2007</v>
      </c>
    </row>
    <row r="543" spans="1:16" x14ac:dyDescent="0.25">
      <c r="A543" s="1" t="s">
        <v>341</v>
      </c>
      <c r="B543" s="31">
        <v>43.5</v>
      </c>
      <c r="C543" s="1" t="s">
        <v>20</v>
      </c>
      <c r="D543" s="1">
        <v>42644</v>
      </c>
      <c r="E543" s="1">
        <v>42644</v>
      </c>
      <c r="F543" s="17">
        <v>1090000</v>
      </c>
      <c r="G543" s="17">
        <v>25057.47</v>
      </c>
      <c r="H543" s="31">
        <v>1</v>
      </c>
      <c r="I543" s="1" t="s">
        <v>21</v>
      </c>
      <c r="J543" s="1" t="s">
        <v>22</v>
      </c>
      <c r="K543" s="1"/>
      <c r="L543" s="1" t="s">
        <v>337</v>
      </c>
      <c r="M543" s="1" t="s">
        <v>51</v>
      </c>
      <c r="N543" s="31">
        <v>3</v>
      </c>
      <c r="O543" s="31">
        <v>1</v>
      </c>
      <c r="P543" s="32">
        <v>2012</v>
      </c>
    </row>
    <row r="544" spans="1:16" x14ac:dyDescent="0.25">
      <c r="A544" s="1" t="s">
        <v>338</v>
      </c>
      <c r="B544" s="31">
        <v>31.3</v>
      </c>
      <c r="C544" s="1" t="s">
        <v>20</v>
      </c>
      <c r="D544" s="1">
        <v>42736</v>
      </c>
      <c r="E544" s="1">
        <v>42736</v>
      </c>
      <c r="F544" s="17">
        <v>787000</v>
      </c>
      <c r="G544" s="17">
        <v>25143.77</v>
      </c>
      <c r="H544" s="31">
        <v>1</v>
      </c>
      <c r="I544" s="1" t="s">
        <v>21</v>
      </c>
      <c r="J544" s="1" t="s">
        <v>22</v>
      </c>
      <c r="K544" s="1"/>
      <c r="L544" s="1" t="s">
        <v>337</v>
      </c>
      <c r="M544" s="1" t="s">
        <v>346</v>
      </c>
      <c r="N544" s="31">
        <v>2</v>
      </c>
      <c r="O544" s="31">
        <v>1</v>
      </c>
      <c r="P544" s="32">
        <v>2016</v>
      </c>
    </row>
    <row r="545" spans="1:16" x14ac:dyDescent="0.25">
      <c r="A545" s="1" t="s">
        <v>342</v>
      </c>
      <c r="B545" s="31">
        <v>55.6</v>
      </c>
      <c r="C545" s="1" t="s">
        <v>20</v>
      </c>
      <c r="D545" s="1">
        <v>42795</v>
      </c>
      <c r="E545" s="1">
        <v>42795</v>
      </c>
      <c r="F545" s="17">
        <v>1400000</v>
      </c>
      <c r="G545" s="17">
        <v>25179.86</v>
      </c>
      <c r="H545" s="31">
        <v>1</v>
      </c>
      <c r="I545" s="1" t="s">
        <v>21</v>
      </c>
      <c r="J545" s="1" t="s">
        <v>32</v>
      </c>
      <c r="K545" s="1"/>
      <c r="L545" s="1" t="s">
        <v>337</v>
      </c>
      <c r="M545" s="1" t="s">
        <v>345</v>
      </c>
      <c r="N545" s="31">
        <v>2</v>
      </c>
      <c r="O545" s="31">
        <v>1</v>
      </c>
      <c r="P545" s="32">
        <v>2005</v>
      </c>
    </row>
    <row r="546" spans="1:16" x14ac:dyDescent="0.25">
      <c r="A546" s="1" t="s">
        <v>342</v>
      </c>
      <c r="B546" s="31">
        <v>62.7</v>
      </c>
      <c r="C546" s="1" t="s">
        <v>20</v>
      </c>
      <c r="D546" s="1">
        <v>42614</v>
      </c>
      <c r="E546" s="1">
        <v>42644</v>
      </c>
      <c r="F546" s="17">
        <v>1600000</v>
      </c>
      <c r="G546" s="17">
        <v>25518.34</v>
      </c>
      <c r="H546" s="31">
        <v>1</v>
      </c>
      <c r="I546" s="1" t="s">
        <v>21</v>
      </c>
      <c r="J546" s="1" t="s">
        <v>22</v>
      </c>
      <c r="K546" s="1"/>
      <c r="L546" s="1" t="s">
        <v>337</v>
      </c>
      <c r="M546" s="1" t="s">
        <v>343</v>
      </c>
      <c r="N546" s="31">
        <v>3</v>
      </c>
      <c r="O546" s="31">
        <v>1</v>
      </c>
      <c r="P546" s="32">
        <v>2010</v>
      </c>
    </row>
    <row r="547" spans="1:16" x14ac:dyDescent="0.25">
      <c r="A547" s="1" t="s">
        <v>347</v>
      </c>
      <c r="B547" s="31">
        <v>17.7</v>
      </c>
      <c r="C547" s="1" t="s">
        <v>20</v>
      </c>
      <c r="D547" s="1">
        <v>42795</v>
      </c>
      <c r="E547" s="1">
        <v>42795</v>
      </c>
      <c r="F547" s="17">
        <v>453100</v>
      </c>
      <c r="G547" s="17">
        <v>25598.87</v>
      </c>
      <c r="H547" s="31">
        <v>1</v>
      </c>
      <c r="I547" s="1" t="s">
        <v>21</v>
      </c>
      <c r="J547" s="1" t="s">
        <v>22</v>
      </c>
      <c r="K547" s="1"/>
      <c r="L547" s="1" t="s">
        <v>337</v>
      </c>
      <c r="M547" s="1" t="s">
        <v>345</v>
      </c>
      <c r="N547" s="31">
        <v>1</v>
      </c>
      <c r="O547" s="31">
        <v>1</v>
      </c>
      <c r="P547" s="32">
        <v>2010</v>
      </c>
    </row>
    <row r="548" spans="1:16" x14ac:dyDescent="0.25">
      <c r="A548" s="1" t="s">
        <v>341</v>
      </c>
      <c r="B548" s="31">
        <v>32.799999999999997</v>
      </c>
      <c r="C548" s="1" t="s">
        <v>20</v>
      </c>
      <c r="D548" s="1">
        <v>42675</v>
      </c>
      <c r="E548" s="1">
        <v>42675</v>
      </c>
      <c r="F548" s="17">
        <v>840000</v>
      </c>
      <c r="G548" s="17">
        <v>25609.759999999998</v>
      </c>
      <c r="H548" s="31">
        <v>1</v>
      </c>
      <c r="I548" s="1" t="s">
        <v>21</v>
      </c>
      <c r="J548" s="1" t="s">
        <v>22</v>
      </c>
      <c r="K548" s="1"/>
      <c r="L548" s="1" t="s">
        <v>337</v>
      </c>
      <c r="M548" s="1" t="s">
        <v>183</v>
      </c>
      <c r="N548" s="31">
        <v>3</v>
      </c>
      <c r="O548" s="31">
        <v>1</v>
      </c>
      <c r="P548" s="32">
        <v>2004</v>
      </c>
    </row>
    <row r="549" spans="1:16" x14ac:dyDescent="0.25">
      <c r="A549" s="1" t="s">
        <v>338</v>
      </c>
      <c r="B549" s="31">
        <v>47.1</v>
      </c>
      <c r="C549" s="1" t="s">
        <v>20</v>
      </c>
      <c r="D549" s="1">
        <v>42675</v>
      </c>
      <c r="E549" s="1">
        <v>42705</v>
      </c>
      <c r="F549" s="17">
        <v>1210240</v>
      </c>
      <c r="G549" s="17">
        <v>25695.119999999999</v>
      </c>
      <c r="H549" s="31">
        <v>1</v>
      </c>
      <c r="I549" s="1" t="s">
        <v>21</v>
      </c>
      <c r="J549" s="1" t="s">
        <v>22</v>
      </c>
      <c r="K549" s="1"/>
      <c r="L549" s="1" t="s">
        <v>337</v>
      </c>
      <c r="M549" s="1" t="s">
        <v>346</v>
      </c>
      <c r="N549" s="31">
        <v>7</v>
      </c>
      <c r="O549" s="31">
        <v>1</v>
      </c>
      <c r="P549" s="32">
        <v>2016</v>
      </c>
    </row>
    <row r="550" spans="1:16" x14ac:dyDescent="0.25">
      <c r="A550" s="1" t="s">
        <v>339</v>
      </c>
      <c r="B550" s="31">
        <v>63.4</v>
      </c>
      <c r="C550" s="1" t="s">
        <v>20</v>
      </c>
      <c r="D550" s="1">
        <v>42736</v>
      </c>
      <c r="E550" s="1">
        <v>42736</v>
      </c>
      <c r="F550" s="17">
        <v>1640000</v>
      </c>
      <c r="G550" s="17">
        <v>25867.51</v>
      </c>
      <c r="H550" s="31">
        <v>1</v>
      </c>
      <c r="I550" s="1" t="s">
        <v>21</v>
      </c>
      <c r="J550" s="1" t="s">
        <v>22</v>
      </c>
      <c r="K550" s="1"/>
      <c r="L550" s="1" t="s">
        <v>337</v>
      </c>
      <c r="M550" s="1" t="s">
        <v>340</v>
      </c>
      <c r="N550" s="31">
        <v>2</v>
      </c>
      <c r="O550" s="31">
        <v>1</v>
      </c>
      <c r="P550" s="32">
        <v>2016</v>
      </c>
    </row>
    <row r="551" spans="1:16" x14ac:dyDescent="0.25">
      <c r="A551" s="1" t="s">
        <v>349</v>
      </c>
      <c r="B551" s="31">
        <v>30.9</v>
      </c>
      <c r="C551" s="1" t="s">
        <v>20</v>
      </c>
      <c r="D551" s="1">
        <v>42795</v>
      </c>
      <c r="E551" s="1">
        <v>42795</v>
      </c>
      <c r="F551" s="17">
        <v>800000</v>
      </c>
      <c r="G551" s="17">
        <v>25889.97</v>
      </c>
      <c r="H551" s="31">
        <v>1</v>
      </c>
      <c r="I551" s="1" t="s">
        <v>21</v>
      </c>
      <c r="J551" s="1" t="s">
        <v>32</v>
      </c>
      <c r="K551" s="1"/>
      <c r="L551" s="1" t="s">
        <v>337</v>
      </c>
      <c r="M551" s="1" t="s">
        <v>128</v>
      </c>
      <c r="N551" s="31">
        <v>4</v>
      </c>
      <c r="O551" s="31">
        <v>1</v>
      </c>
      <c r="P551" s="32">
        <v>2002</v>
      </c>
    </row>
    <row r="552" spans="1:16" x14ac:dyDescent="0.25">
      <c r="A552" s="1" t="s">
        <v>338</v>
      </c>
      <c r="B552" s="31">
        <v>31.4</v>
      </c>
      <c r="C552" s="1" t="s">
        <v>20</v>
      </c>
      <c r="D552" s="1">
        <v>42705</v>
      </c>
      <c r="E552" s="1">
        <v>42705</v>
      </c>
      <c r="F552" s="17">
        <v>818400</v>
      </c>
      <c r="G552" s="17">
        <v>26063.69</v>
      </c>
      <c r="H552" s="31">
        <v>1</v>
      </c>
      <c r="I552" s="1" t="s">
        <v>21</v>
      </c>
      <c r="J552" s="1" t="s">
        <v>22</v>
      </c>
      <c r="K552" s="1"/>
      <c r="L552" s="1" t="s">
        <v>337</v>
      </c>
      <c r="M552" s="1" t="s">
        <v>346</v>
      </c>
      <c r="N552" s="31">
        <v>3</v>
      </c>
      <c r="O552" s="31">
        <v>1</v>
      </c>
      <c r="P552" s="32">
        <v>2016</v>
      </c>
    </row>
    <row r="553" spans="1:16" x14ac:dyDescent="0.25">
      <c r="A553" s="1" t="s">
        <v>351</v>
      </c>
      <c r="B553" s="31">
        <v>77.3</v>
      </c>
      <c r="C553" s="1" t="s">
        <v>20</v>
      </c>
      <c r="D553" s="1">
        <v>42644</v>
      </c>
      <c r="E553" s="1">
        <v>42675</v>
      </c>
      <c r="F553" s="17">
        <v>2027063</v>
      </c>
      <c r="G553" s="17">
        <v>26223.32</v>
      </c>
      <c r="H553" s="31">
        <v>1</v>
      </c>
      <c r="I553" s="1" t="s">
        <v>21</v>
      </c>
      <c r="J553" s="1" t="s">
        <v>22</v>
      </c>
      <c r="K553" s="1"/>
      <c r="L553" s="1" t="s">
        <v>337</v>
      </c>
      <c r="M553" s="1" t="s">
        <v>345</v>
      </c>
      <c r="N553" s="31">
        <v>3</v>
      </c>
      <c r="O553" s="31">
        <v>1</v>
      </c>
      <c r="P553" s="32">
        <v>2002</v>
      </c>
    </row>
    <row r="554" spans="1:16" x14ac:dyDescent="0.25">
      <c r="A554" s="1" t="s">
        <v>347</v>
      </c>
      <c r="B554" s="31">
        <v>33</v>
      </c>
      <c r="C554" s="1" t="s">
        <v>20</v>
      </c>
      <c r="D554" s="1">
        <v>42705</v>
      </c>
      <c r="E554" s="1">
        <v>42705</v>
      </c>
      <c r="F554" s="17">
        <v>870400</v>
      </c>
      <c r="G554" s="17">
        <v>26375.759999999998</v>
      </c>
      <c r="H554" s="31">
        <v>1</v>
      </c>
      <c r="I554" s="1" t="s">
        <v>21</v>
      </c>
      <c r="J554" s="1" t="s">
        <v>22</v>
      </c>
      <c r="K554" s="1"/>
      <c r="L554" s="1" t="s">
        <v>337</v>
      </c>
      <c r="M554" s="1" t="s">
        <v>343</v>
      </c>
      <c r="N554" s="31">
        <v>2</v>
      </c>
      <c r="O554" s="31">
        <v>1</v>
      </c>
      <c r="P554" s="32">
        <v>2000</v>
      </c>
    </row>
    <row r="555" spans="1:16" x14ac:dyDescent="0.25">
      <c r="A555" s="1" t="s">
        <v>342</v>
      </c>
      <c r="B555" s="31">
        <v>50.9</v>
      </c>
      <c r="C555" s="1" t="s">
        <v>20</v>
      </c>
      <c r="D555" s="1">
        <v>42767</v>
      </c>
      <c r="E555" s="1">
        <v>42767</v>
      </c>
      <c r="F555" s="17">
        <v>1350000</v>
      </c>
      <c r="G555" s="17">
        <v>26522.59</v>
      </c>
      <c r="H555" s="31">
        <v>1</v>
      </c>
      <c r="I555" s="1" t="s">
        <v>21</v>
      </c>
      <c r="J555" s="1" t="s">
        <v>22</v>
      </c>
      <c r="K555" s="1"/>
      <c r="L555" s="1" t="s">
        <v>337</v>
      </c>
      <c r="M555" s="1"/>
      <c r="N555" s="31">
        <v>2</v>
      </c>
      <c r="O555" s="31">
        <v>2</v>
      </c>
      <c r="P555" s="32">
        <v>2013</v>
      </c>
    </row>
    <row r="556" spans="1:16" x14ac:dyDescent="0.25">
      <c r="A556" s="1" t="s">
        <v>342</v>
      </c>
      <c r="B556" s="31">
        <v>50.9</v>
      </c>
      <c r="C556" s="1" t="s">
        <v>20</v>
      </c>
      <c r="D556" s="1">
        <v>42767</v>
      </c>
      <c r="E556" s="1">
        <v>42767</v>
      </c>
      <c r="F556" s="17">
        <v>1350000</v>
      </c>
      <c r="G556" s="17">
        <v>26522.59</v>
      </c>
      <c r="H556" s="31">
        <v>1</v>
      </c>
      <c r="I556" s="1" t="s">
        <v>21</v>
      </c>
      <c r="J556" s="1" t="s">
        <v>22</v>
      </c>
      <c r="K556" s="1"/>
      <c r="L556" s="1" t="s">
        <v>337</v>
      </c>
      <c r="M556" s="1"/>
      <c r="N556" s="31">
        <v>2</v>
      </c>
      <c r="O556" s="31">
        <v>2</v>
      </c>
      <c r="P556" s="32">
        <v>2013</v>
      </c>
    </row>
    <row r="557" spans="1:16" x14ac:dyDescent="0.25">
      <c r="A557" s="1" t="s">
        <v>339</v>
      </c>
      <c r="B557" s="31">
        <v>30.7</v>
      </c>
      <c r="C557" s="1" t="s">
        <v>20</v>
      </c>
      <c r="D557" s="1">
        <v>42767</v>
      </c>
      <c r="E557" s="1">
        <v>42795</v>
      </c>
      <c r="F557" s="17">
        <v>816300</v>
      </c>
      <c r="G557" s="17">
        <v>26589.58</v>
      </c>
      <c r="H557" s="31">
        <v>1</v>
      </c>
      <c r="I557" s="1" t="s">
        <v>21</v>
      </c>
      <c r="J557" s="1" t="s">
        <v>32</v>
      </c>
      <c r="K557" s="1"/>
      <c r="L557" s="1" t="s">
        <v>337</v>
      </c>
      <c r="M557" s="1" t="s">
        <v>157</v>
      </c>
      <c r="N557" s="31">
        <v>4</v>
      </c>
      <c r="O557" s="31">
        <v>2</v>
      </c>
      <c r="P557" s="32">
        <v>2004</v>
      </c>
    </row>
    <row r="558" spans="1:16" x14ac:dyDescent="0.25">
      <c r="A558" s="1" t="s">
        <v>339</v>
      </c>
      <c r="B558" s="31">
        <v>30.7</v>
      </c>
      <c r="C558" s="1" t="s">
        <v>20</v>
      </c>
      <c r="D558" s="1">
        <v>42767</v>
      </c>
      <c r="E558" s="1">
        <v>42795</v>
      </c>
      <c r="F558" s="17">
        <v>816300</v>
      </c>
      <c r="G558" s="17">
        <v>26589.58</v>
      </c>
      <c r="H558" s="31">
        <v>1</v>
      </c>
      <c r="I558" s="1" t="s">
        <v>21</v>
      </c>
      <c r="J558" s="1" t="s">
        <v>32</v>
      </c>
      <c r="K558" s="1"/>
      <c r="L558" s="1" t="s">
        <v>337</v>
      </c>
      <c r="M558" s="1" t="s">
        <v>157</v>
      </c>
      <c r="N558" s="31">
        <v>4</v>
      </c>
      <c r="O558" s="31">
        <v>2</v>
      </c>
      <c r="P558" s="32">
        <v>2004</v>
      </c>
    </row>
    <row r="559" spans="1:16" x14ac:dyDescent="0.25">
      <c r="A559" s="1" t="s">
        <v>348</v>
      </c>
      <c r="B559" s="31">
        <v>40.4</v>
      </c>
      <c r="C559" s="1" t="s">
        <v>20</v>
      </c>
      <c r="D559" s="1">
        <v>42644</v>
      </c>
      <c r="E559" s="1">
        <v>42644</v>
      </c>
      <c r="F559" s="17">
        <v>1080000</v>
      </c>
      <c r="G559" s="17">
        <v>26732.67</v>
      </c>
      <c r="H559" s="31">
        <v>1</v>
      </c>
      <c r="I559" s="1" t="s">
        <v>21</v>
      </c>
      <c r="J559" s="1" t="s">
        <v>22</v>
      </c>
      <c r="K559" s="1"/>
      <c r="L559" s="1" t="s">
        <v>337</v>
      </c>
      <c r="M559" s="1" t="s">
        <v>345</v>
      </c>
      <c r="N559" s="31">
        <v>4</v>
      </c>
      <c r="O559" s="31">
        <v>1</v>
      </c>
      <c r="P559" s="32">
        <v>2002</v>
      </c>
    </row>
    <row r="560" spans="1:16" x14ac:dyDescent="0.25">
      <c r="A560" s="1" t="s">
        <v>341</v>
      </c>
      <c r="B560" s="31">
        <v>42.9</v>
      </c>
      <c r="C560" s="1" t="s">
        <v>20</v>
      </c>
      <c r="D560" s="1">
        <v>42614</v>
      </c>
      <c r="E560" s="1">
        <v>42644</v>
      </c>
      <c r="F560" s="17">
        <v>1150000</v>
      </c>
      <c r="G560" s="17">
        <v>26806.53</v>
      </c>
      <c r="H560" s="31">
        <v>1</v>
      </c>
      <c r="I560" s="1" t="s">
        <v>21</v>
      </c>
      <c r="J560" s="1" t="s">
        <v>22</v>
      </c>
      <c r="K560" s="1"/>
      <c r="L560" s="1" t="s">
        <v>337</v>
      </c>
      <c r="M560" s="1" t="s">
        <v>183</v>
      </c>
      <c r="N560" s="31">
        <v>3</v>
      </c>
      <c r="O560" s="31">
        <v>2</v>
      </c>
      <c r="P560" s="32">
        <v>2011</v>
      </c>
    </row>
    <row r="561" spans="1:16" x14ac:dyDescent="0.25">
      <c r="A561" s="1" t="s">
        <v>341</v>
      </c>
      <c r="B561" s="31">
        <v>42.9</v>
      </c>
      <c r="C561" s="1" t="s">
        <v>20</v>
      </c>
      <c r="D561" s="1">
        <v>42614</v>
      </c>
      <c r="E561" s="1">
        <v>42644</v>
      </c>
      <c r="F561" s="17">
        <v>1150000</v>
      </c>
      <c r="G561" s="17">
        <v>26806.53</v>
      </c>
      <c r="H561" s="31">
        <v>1</v>
      </c>
      <c r="I561" s="1" t="s">
        <v>21</v>
      </c>
      <c r="J561" s="1" t="s">
        <v>22</v>
      </c>
      <c r="K561" s="1"/>
      <c r="L561" s="1" t="s">
        <v>337</v>
      </c>
      <c r="M561" s="1" t="s">
        <v>183</v>
      </c>
      <c r="N561" s="31">
        <v>3</v>
      </c>
      <c r="O561" s="31">
        <v>2</v>
      </c>
      <c r="P561" s="32">
        <v>2011</v>
      </c>
    </row>
    <row r="562" spans="1:16" x14ac:dyDescent="0.25">
      <c r="A562" s="1" t="s">
        <v>349</v>
      </c>
      <c r="B562" s="31">
        <v>30.2</v>
      </c>
      <c r="C562" s="1" t="s">
        <v>20</v>
      </c>
      <c r="D562" s="1">
        <v>42675</v>
      </c>
      <c r="E562" s="1">
        <v>42705</v>
      </c>
      <c r="F562" s="17">
        <v>816000</v>
      </c>
      <c r="G562" s="17">
        <v>27019.87</v>
      </c>
      <c r="H562" s="31">
        <v>1</v>
      </c>
      <c r="I562" s="1" t="s">
        <v>21</v>
      </c>
      <c r="J562" s="1" t="s">
        <v>22</v>
      </c>
      <c r="K562" s="1"/>
      <c r="L562" s="1" t="s">
        <v>337</v>
      </c>
      <c r="M562" s="1" t="s">
        <v>128</v>
      </c>
      <c r="N562" s="31">
        <v>5</v>
      </c>
      <c r="O562" s="31">
        <v>1</v>
      </c>
      <c r="P562" s="32">
        <v>2008</v>
      </c>
    </row>
    <row r="563" spans="1:16" x14ac:dyDescent="0.25">
      <c r="A563" s="1" t="s">
        <v>349</v>
      </c>
      <c r="B563" s="31">
        <v>45.9</v>
      </c>
      <c r="C563" s="1" t="s">
        <v>20</v>
      </c>
      <c r="D563" s="1">
        <v>42736</v>
      </c>
      <c r="E563" s="1">
        <v>42736</v>
      </c>
      <c r="F563" s="17">
        <v>1250000</v>
      </c>
      <c r="G563" s="17">
        <v>27233.119999999999</v>
      </c>
      <c r="H563" s="31">
        <v>1</v>
      </c>
      <c r="I563" s="1" t="s">
        <v>21</v>
      </c>
      <c r="J563" s="1" t="s">
        <v>22</v>
      </c>
      <c r="K563" s="1"/>
      <c r="L563" s="1" t="s">
        <v>337</v>
      </c>
      <c r="M563" s="1" t="s">
        <v>128</v>
      </c>
      <c r="N563" s="31">
        <v>5</v>
      </c>
      <c r="O563" s="31">
        <v>1</v>
      </c>
      <c r="P563" s="32">
        <v>2001</v>
      </c>
    </row>
    <row r="564" spans="1:16" x14ac:dyDescent="0.25">
      <c r="A564" s="1" t="s">
        <v>341</v>
      </c>
      <c r="B564" s="31">
        <v>49.4</v>
      </c>
      <c r="C564" s="1" t="s">
        <v>20</v>
      </c>
      <c r="D564" s="1">
        <v>42644</v>
      </c>
      <c r="E564" s="1">
        <v>42644</v>
      </c>
      <c r="F564" s="17">
        <v>1360000</v>
      </c>
      <c r="G564" s="17">
        <v>27530.36</v>
      </c>
      <c r="H564" s="31">
        <v>1</v>
      </c>
      <c r="I564" s="1" t="s">
        <v>21</v>
      </c>
      <c r="J564" s="1" t="s">
        <v>22</v>
      </c>
      <c r="K564" s="1"/>
      <c r="L564" s="1" t="s">
        <v>337</v>
      </c>
      <c r="M564" s="1" t="s">
        <v>49</v>
      </c>
      <c r="N564" s="31">
        <v>2</v>
      </c>
      <c r="O564" s="31">
        <v>1</v>
      </c>
      <c r="P564" s="32">
        <v>2012</v>
      </c>
    </row>
    <row r="565" spans="1:16" x14ac:dyDescent="0.25">
      <c r="A565" s="1" t="s">
        <v>348</v>
      </c>
      <c r="B565" s="31">
        <v>44.8</v>
      </c>
      <c r="C565" s="1" t="s">
        <v>20</v>
      </c>
      <c r="D565" s="1">
        <v>42736</v>
      </c>
      <c r="E565" s="1">
        <v>42736</v>
      </c>
      <c r="F565" s="17">
        <v>1242400</v>
      </c>
      <c r="G565" s="17">
        <v>27732.14</v>
      </c>
      <c r="H565" s="31">
        <v>1</v>
      </c>
      <c r="I565" s="1" t="s">
        <v>21</v>
      </c>
      <c r="J565" s="1" t="s">
        <v>32</v>
      </c>
      <c r="K565" s="1"/>
      <c r="L565" s="1" t="s">
        <v>337</v>
      </c>
      <c r="M565" s="1" t="s">
        <v>345</v>
      </c>
      <c r="N565" s="31">
        <v>2</v>
      </c>
      <c r="O565" s="31">
        <v>1</v>
      </c>
      <c r="P565" s="32">
        <v>2002</v>
      </c>
    </row>
    <row r="566" spans="1:16" x14ac:dyDescent="0.25">
      <c r="A566" s="1" t="s">
        <v>348</v>
      </c>
      <c r="B566" s="31">
        <v>32.200000000000003</v>
      </c>
      <c r="C566" s="1" t="s">
        <v>20</v>
      </c>
      <c r="D566" s="1">
        <v>42705</v>
      </c>
      <c r="E566" s="1">
        <v>42705</v>
      </c>
      <c r="F566" s="17">
        <v>900000</v>
      </c>
      <c r="G566" s="17">
        <v>27950.31</v>
      </c>
      <c r="H566" s="31">
        <v>1</v>
      </c>
      <c r="I566" s="1" t="s">
        <v>21</v>
      </c>
      <c r="J566" s="1" t="s">
        <v>22</v>
      </c>
      <c r="K566" s="1"/>
      <c r="L566" s="1" t="s">
        <v>337</v>
      </c>
      <c r="M566" s="1" t="s">
        <v>128</v>
      </c>
      <c r="N566" s="31">
        <v>4</v>
      </c>
      <c r="O566" s="31">
        <v>2</v>
      </c>
      <c r="P566" s="32">
        <v>2002</v>
      </c>
    </row>
    <row r="567" spans="1:16" x14ac:dyDescent="0.25">
      <c r="A567" s="1" t="s">
        <v>348</v>
      </c>
      <c r="B567" s="31">
        <v>32.200000000000003</v>
      </c>
      <c r="C567" s="1" t="s">
        <v>20</v>
      </c>
      <c r="D567" s="1">
        <v>42705</v>
      </c>
      <c r="E567" s="1">
        <v>42705</v>
      </c>
      <c r="F567" s="17">
        <v>900000</v>
      </c>
      <c r="G567" s="17">
        <v>27950.31</v>
      </c>
      <c r="H567" s="31">
        <v>1</v>
      </c>
      <c r="I567" s="1" t="s">
        <v>21</v>
      </c>
      <c r="J567" s="1" t="s">
        <v>22</v>
      </c>
      <c r="K567" s="1"/>
      <c r="L567" s="1" t="s">
        <v>337</v>
      </c>
      <c r="M567" s="1" t="s">
        <v>128</v>
      </c>
      <c r="N567" s="31">
        <v>4</v>
      </c>
      <c r="O567" s="31">
        <v>2</v>
      </c>
      <c r="P567" s="32">
        <v>2002</v>
      </c>
    </row>
    <row r="568" spans="1:16" x14ac:dyDescent="0.25">
      <c r="A568" s="1" t="s">
        <v>342</v>
      </c>
      <c r="B568" s="31">
        <v>30.4</v>
      </c>
      <c r="C568" s="1" t="s">
        <v>20</v>
      </c>
      <c r="D568" s="1">
        <v>42705</v>
      </c>
      <c r="E568" s="1">
        <v>42736</v>
      </c>
      <c r="F568" s="17">
        <v>850000</v>
      </c>
      <c r="G568" s="17">
        <v>27960.53</v>
      </c>
      <c r="H568" s="31">
        <v>1</v>
      </c>
      <c r="I568" s="1" t="s">
        <v>21</v>
      </c>
      <c r="J568" s="1" t="s">
        <v>32</v>
      </c>
      <c r="K568" s="1"/>
      <c r="L568" s="1" t="s">
        <v>337</v>
      </c>
      <c r="M568" s="1" t="s">
        <v>345</v>
      </c>
      <c r="N568" s="31">
        <v>4</v>
      </c>
      <c r="O568" s="31">
        <v>1</v>
      </c>
      <c r="P568" s="32">
        <v>2008</v>
      </c>
    </row>
    <row r="569" spans="1:16" x14ac:dyDescent="0.25">
      <c r="A569" s="1" t="s">
        <v>342</v>
      </c>
      <c r="B569" s="31">
        <v>48.1</v>
      </c>
      <c r="C569" s="1" t="s">
        <v>20</v>
      </c>
      <c r="D569" s="1">
        <v>42675</v>
      </c>
      <c r="E569" s="1">
        <v>42675</v>
      </c>
      <c r="F569" s="17">
        <v>1350000</v>
      </c>
      <c r="G569" s="17">
        <v>28066.53</v>
      </c>
      <c r="H569" s="31">
        <v>1</v>
      </c>
      <c r="I569" s="1" t="s">
        <v>21</v>
      </c>
      <c r="J569" s="1" t="s">
        <v>22</v>
      </c>
      <c r="K569" s="1"/>
      <c r="L569" s="1" t="s">
        <v>337</v>
      </c>
      <c r="M569" s="1" t="s">
        <v>299</v>
      </c>
      <c r="N569" s="31">
        <v>3</v>
      </c>
      <c r="O569" s="31">
        <v>1</v>
      </c>
      <c r="P569" s="32">
        <v>2014</v>
      </c>
    </row>
    <row r="570" spans="1:16" x14ac:dyDescent="0.25">
      <c r="A570" s="1" t="s">
        <v>349</v>
      </c>
      <c r="B570" s="31">
        <v>30.1</v>
      </c>
      <c r="C570" s="1" t="s">
        <v>20</v>
      </c>
      <c r="D570" s="1">
        <v>42767</v>
      </c>
      <c r="E570" s="1">
        <v>42767</v>
      </c>
      <c r="F570" s="17">
        <v>850000</v>
      </c>
      <c r="G570" s="17">
        <v>28239.200000000001</v>
      </c>
      <c r="H570" s="31">
        <v>1</v>
      </c>
      <c r="I570" s="1" t="s">
        <v>21</v>
      </c>
      <c r="J570" s="1" t="s">
        <v>32</v>
      </c>
      <c r="K570" s="1"/>
      <c r="L570" s="1" t="s">
        <v>337</v>
      </c>
      <c r="M570" s="1" t="s">
        <v>128</v>
      </c>
      <c r="N570" s="31">
        <v>2</v>
      </c>
      <c r="O570" s="31">
        <v>1</v>
      </c>
      <c r="P570" s="32">
        <v>2002</v>
      </c>
    </row>
    <row r="571" spans="1:16" x14ac:dyDescent="0.25">
      <c r="A571" s="1" t="s">
        <v>356</v>
      </c>
      <c r="B571" s="31">
        <v>40.9</v>
      </c>
      <c r="C571" s="1" t="s">
        <v>20</v>
      </c>
      <c r="D571" s="1">
        <v>42705</v>
      </c>
      <c r="E571" s="1">
        <v>42705</v>
      </c>
      <c r="F571" s="17">
        <v>1160000</v>
      </c>
      <c r="G571" s="17">
        <v>28361.86</v>
      </c>
      <c r="H571" s="31">
        <v>1</v>
      </c>
      <c r="I571" s="1" t="s">
        <v>21</v>
      </c>
      <c r="J571" s="1" t="s">
        <v>32</v>
      </c>
      <c r="K571" s="1"/>
      <c r="L571" s="1" t="s">
        <v>337</v>
      </c>
      <c r="M571" s="1" t="s">
        <v>357</v>
      </c>
      <c r="N571" s="31">
        <v>1</v>
      </c>
      <c r="O571" s="31">
        <v>1</v>
      </c>
      <c r="P571" s="32">
        <v>2011</v>
      </c>
    </row>
    <row r="572" spans="1:16" x14ac:dyDescent="0.25">
      <c r="A572" s="1" t="s">
        <v>347</v>
      </c>
      <c r="B572" s="31">
        <v>59.4</v>
      </c>
      <c r="C572" s="1" t="s">
        <v>20</v>
      </c>
      <c r="D572" s="1">
        <v>42795</v>
      </c>
      <c r="E572" s="1">
        <v>42795</v>
      </c>
      <c r="F572" s="17">
        <v>1700000</v>
      </c>
      <c r="G572" s="17">
        <v>28619.53</v>
      </c>
      <c r="H572" s="31">
        <v>1</v>
      </c>
      <c r="I572" s="1" t="s">
        <v>21</v>
      </c>
      <c r="J572" s="1" t="s">
        <v>32</v>
      </c>
      <c r="K572" s="1"/>
      <c r="L572" s="1" t="s">
        <v>337</v>
      </c>
      <c r="M572" s="1" t="s">
        <v>343</v>
      </c>
      <c r="N572" s="31">
        <v>2</v>
      </c>
      <c r="O572" s="31">
        <v>1</v>
      </c>
      <c r="P572" s="32">
        <v>2012</v>
      </c>
    </row>
    <row r="573" spans="1:16" x14ac:dyDescent="0.25">
      <c r="A573" s="1" t="s">
        <v>349</v>
      </c>
      <c r="B573" s="31">
        <v>62.6</v>
      </c>
      <c r="C573" s="1" t="s">
        <v>20</v>
      </c>
      <c r="D573" s="1">
        <v>42767</v>
      </c>
      <c r="E573" s="1">
        <v>42767</v>
      </c>
      <c r="F573" s="17">
        <v>1800000</v>
      </c>
      <c r="G573" s="17">
        <v>28753.99</v>
      </c>
      <c r="H573" s="31">
        <v>1</v>
      </c>
      <c r="I573" s="1" t="s">
        <v>21</v>
      </c>
      <c r="J573" s="1" t="s">
        <v>32</v>
      </c>
      <c r="K573" s="1"/>
      <c r="L573" s="1" t="s">
        <v>337</v>
      </c>
      <c r="M573" s="1" t="s">
        <v>340</v>
      </c>
      <c r="N573" s="31">
        <v>2</v>
      </c>
      <c r="O573" s="31">
        <v>2</v>
      </c>
      <c r="P573" s="32">
        <v>2007</v>
      </c>
    </row>
    <row r="574" spans="1:16" x14ac:dyDescent="0.25">
      <c r="A574" s="1" t="s">
        <v>349</v>
      </c>
      <c r="B574" s="31">
        <v>62.6</v>
      </c>
      <c r="C574" s="1" t="s">
        <v>20</v>
      </c>
      <c r="D574" s="1">
        <v>42767</v>
      </c>
      <c r="E574" s="1">
        <v>42767</v>
      </c>
      <c r="F574" s="17">
        <v>1800000</v>
      </c>
      <c r="G574" s="17">
        <v>28753.99</v>
      </c>
      <c r="H574" s="31">
        <v>1</v>
      </c>
      <c r="I574" s="1" t="s">
        <v>21</v>
      </c>
      <c r="J574" s="1" t="s">
        <v>32</v>
      </c>
      <c r="K574" s="1"/>
      <c r="L574" s="1" t="s">
        <v>337</v>
      </c>
      <c r="M574" s="1" t="s">
        <v>340</v>
      </c>
      <c r="N574" s="31">
        <v>2</v>
      </c>
      <c r="O574" s="31">
        <v>2</v>
      </c>
      <c r="P574" s="32">
        <v>2007</v>
      </c>
    </row>
    <row r="575" spans="1:16" x14ac:dyDescent="0.25">
      <c r="A575" s="1" t="s">
        <v>349</v>
      </c>
      <c r="B575" s="31">
        <v>34.700000000000003</v>
      </c>
      <c r="C575" s="1" t="s">
        <v>20</v>
      </c>
      <c r="D575" s="1">
        <v>42736</v>
      </c>
      <c r="E575" s="1">
        <v>42736</v>
      </c>
      <c r="F575" s="17">
        <v>1040000</v>
      </c>
      <c r="G575" s="17">
        <v>29971.18</v>
      </c>
      <c r="H575" s="31">
        <v>1</v>
      </c>
      <c r="I575" s="1" t="s">
        <v>21</v>
      </c>
      <c r="J575" s="1" t="s">
        <v>32</v>
      </c>
      <c r="K575" s="1"/>
      <c r="L575" s="1" t="s">
        <v>337</v>
      </c>
      <c r="M575" s="1" t="s">
        <v>128</v>
      </c>
      <c r="N575" s="31">
        <v>2</v>
      </c>
      <c r="O575" s="31">
        <v>1</v>
      </c>
      <c r="P575" s="32">
        <v>2003</v>
      </c>
    </row>
    <row r="576" spans="1:16" x14ac:dyDescent="0.25">
      <c r="A576" s="1" t="s">
        <v>338</v>
      </c>
      <c r="B576" s="31">
        <v>34.5</v>
      </c>
      <c r="C576" s="1" t="s">
        <v>20</v>
      </c>
      <c r="D576" s="1">
        <v>42767</v>
      </c>
      <c r="E576" s="1">
        <v>42767</v>
      </c>
      <c r="F576" s="17">
        <v>1040000</v>
      </c>
      <c r="G576" s="17">
        <v>30144.93</v>
      </c>
      <c r="H576" s="31">
        <v>1</v>
      </c>
      <c r="I576" s="1" t="s">
        <v>21</v>
      </c>
      <c r="J576" s="1" t="s">
        <v>22</v>
      </c>
      <c r="K576" s="1"/>
      <c r="L576" s="1" t="s">
        <v>337</v>
      </c>
      <c r="M576" s="1" t="s">
        <v>358</v>
      </c>
      <c r="N576" s="31">
        <v>5</v>
      </c>
      <c r="O576" s="31">
        <v>1</v>
      </c>
      <c r="P576" s="32">
        <v>1999</v>
      </c>
    </row>
    <row r="577" spans="1:16" x14ac:dyDescent="0.25">
      <c r="A577" s="1" t="s">
        <v>339</v>
      </c>
      <c r="B577" s="31">
        <v>32.6</v>
      </c>
      <c r="C577" s="1" t="s">
        <v>20</v>
      </c>
      <c r="D577" s="1">
        <v>42705</v>
      </c>
      <c r="E577" s="1">
        <v>42705</v>
      </c>
      <c r="F577" s="17">
        <v>1000000</v>
      </c>
      <c r="G577" s="17">
        <v>30674.85</v>
      </c>
      <c r="H577" s="31">
        <v>1</v>
      </c>
      <c r="I577" s="1" t="s">
        <v>21</v>
      </c>
      <c r="J577" s="1" t="s">
        <v>32</v>
      </c>
      <c r="K577" s="1"/>
      <c r="L577" s="1" t="s">
        <v>337</v>
      </c>
      <c r="M577" s="1" t="s">
        <v>128</v>
      </c>
      <c r="N577" s="31">
        <v>2</v>
      </c>
      <c r="O577" s="31">
        <v>1</v>
      </c>
      <c r="P577" s="32">
        <v>2001</v>
      </c>
    </row>
    <row r="578" spans="1:16" x14ac:dyDescent="0.25">
      <c r="A578" s="1" t="s">
        <v>339</v>
      </c>
      <c r="B578" s="31">
        <v>264.10000000000002</v>
      </c>
      <c r="C578" s="1" t="s">
        <v>20</v>
      </c>
      <c r="D578" s="1">
        <v>42795</v>
      </c>
      <c r="E578" s="1">
        <v>42795</v>
      </c>
      <c r="F578" s="17">
        <v>8164000</v>
      </c>
      <c r="G578" s="17">
        <v>30912.53</v>
      </c>
      <c r="H578" s="31">
        <v>1</v>
      </c>
      <c r="I578" s="1" t="s">
        <v>21</v>
      </c>
      <c r="J578" s="1" t="s">
        <v>64</v>
      </c>
      <c r="K578" s="1"/>
      <c r="L578" s="1" t="s">
        <v>337</v>
      </c>
      <c r="M578" s="1" t="s">
        <v>128</v>
      </c>
      <c r="N578" s="31">
        <v>1</v>
      </c>
      <c r="O578" s="31">
        <v>1</v>
      </c>
      <c r="P578" s="32">
        <v>2008</v>
      </c>
    </row>
    <row r="579" spans="1:16" x14ac:dyDescent="0.25">
      <c r="A579" s="1" t="s">
        <v>349</v>
      </c>
      <c r="B579" s="31">
        <v>29.3</v>
      </c>
      <c r="C579" s="1" t="s">
        <v>20</v>
      </c>
      <c r="D579" s="1">
        <v>42795</v>
      </c>
      <c r="E579" s="1">
        <v>42795</v>
      </c>
      <c r="F579" s="17">
        <v>920000</v>
      </c>
      <c r="G579" s="17">
        <v>31399.32</v>
      </c>
      <c r="H579" s="31">
        <v>1</v>
      </c>
      <c r="I579" s="1" t="s">
        <v>21</v>
      </c>
      <c r="J579" s="1" t="s">
        <v>32</v>
      </c>
      <c r="K579" s="1"/>
      <c r="L579" s="1" t="s">
        <v>337</v>
      </c>
      <c r="M579" s="1" t="s">
        <v>128</v>
      </c>
      <c r="N579" s="31">
        <v>2</v>
      </c>
      <c r="O579" s="31">
        <v>1</v>
      </c>
      <c r="P579" s="32">
        <v>2000</v>
      </c>
    </row>
    <row r="580" spans="1:16" x14ac:dyDescent="0.25">
      <c r="A580" s="1" t="s">
        <v>348</v>
      </c>
      <c r="B580" s="31">
        <v>28.8</v>
      </c>
      <c r="C580" s="1" t="s">
        <v>20</v>
      </c>
      <c r="D580" s="1">
        <v>42795</v>
      </c>
      <c r="E580" s="1">
        <v>42795</v>
      </c>
      <c r="F580" s="17">
        <v>1040000</v>
      </c>
      <c r="G580" s="17">
        <v>36111.11</v>
      </c>
      <c r="H580" s="31">
        <v>1</v>
      </c>
      <c r="I580" s="1" t="s">
        <v>21</v>
      </c>
      <c r="J580" s="1" t="s">
        <v>22</v>
      </c>
      <c r="K580" s="1"/>
      <c r="L580" s="1" t="s">
        <v>337</v>
      </c>
      <c r="M580" s="1" t="s">
        <v>345</v>
      </c>
      <c r="N580" s="31">
        <v>5</v>
      </c>
      <c r="O580" s="31">
        <v>1</v>
      </c>
      <c r="P580" s="32">
        <v>2004</v>
      </c>
    </row>
    <row r="581" spans="1:16" x14ac:dyDescent="0.25">
      <c r="A581" s="1" t="s">
        <v>389</v>
      </c>
      <c r="B581" s="31">
        <v>50</v>
      </c>
      <c r="C581" s="1" t="s">
        <v>20</v>
      </c>
      <c r="D581" s="2">
        <v>42675</v>
      </c>
      <c r="E581" s="2">
        <v>42675</v>
      </c>
      <c r="F581" s="17">
        <v>1500000</v>
      </c>
      <c r="G581" s="17">
        <v>30000</v>
      </c>
      <c r="H581" s="31">
        <v>1</v>
      </c>
      <c r="I581" s="1" t="s">
        <v>21</v>
      </c>
      <c r="J581" s="1" t="s">
        <v>22</v>
      </c>
      <c r="K581" s="1" t="s">
        <v>360</v>
      </c>
      <c r="L581" s="1" t="s">
        <v>359</v>
      </c>
      <c r="M581" s="1" t="s">
        <v>397</v>
      </c>
      <c r="N581" s="31">
        <v>2</v>
      </c>
      <c r="O581" s="31">
        <v>1</v>
      </c>
      <c r="P581" s="32">
        <v>2011</v>
      </c>
    </row>
    <row r="582" spans="1:16" x14ac:dyDescent="0.25">
      <c r="A582" s="1" t="s">
        <v>389</v>
      </c>
      <c r="B582" s="31">
        <v>48</v>
      </c>
      <c r="C582" s="1" t="s">
        <v>20</v>
      </c>
      <c r="D582" s="2">
        <v>42705</v>
      </c>
      <c r="E582" s="2">
        <v>42705</v>
      </c>
      <c r="F582" s="17">
        <v>1460000</v>
      </c>
      <c r="G582" s="17">
        <v>30416.67</v>
      </c>
      <c r="H582" s="31">
        <v>1</v>
      </c>
      <c r="I582" s="1" t="s">
        <v>21</v>
      </c>
      <c r="J582" s="1" t="s">
        <v>22</v>
      </c>
      <c r="K582" s="1" t="s">
        <v>360</v>
      </c>
      <c r="L582" s="1" t="s">
        <v>359</v>
      </c>
      <c r="M582" s="1" t="s">
        <v>390</v>
      </c>
      <c r="N582" s="31">
        <v>3</v>
      </c>
      <c r="O582" s="31">
        <v>1</v>
      </c>
      <c r="P582" s="32">
        <v>2004</v>
      </c>
    </row>
    <row r="583" spans="1:16" x14ac:dyDescent="0.25">
      <c r="A583" s="1" t="s">
        <v>378</v>
      </c>
      <c r="B583" s="31">
        <v>32.799999999999997</v>
      </c>
      <c r="C583" s="1" t="s">
        <v>20</v>
      </c>
      <c r="D583" s="2">
        <v>42644</v>
      </c>
      <c r="E583" s="2">
        <v>42705</v>
      </c>
      <c r="F583" s="17">
        <v>1000000</v>
      </c>
      <c r="G583" s="17">
        <v>30487.8</v>
      </c>
      <c r="H583" s="31">
        <v>1</v>
      </c>
      <c r="I583" s="1" t="s">
        <v>21</v>
      </c>
      <c r="J583" s="1" t="s">
        <v>22</v>
      </c>
      <c r="K583" s="1" t="s">
        <v>360</v>
      </c>
      <c r="L583" s="1" t="s">
        <v>359</v>
      </c>
      <c r="M583" s="1" t="s">
        <v>61</v>
      </c>
      <c r="N583" s="31">
        <v>1</v>
      </c>
      <c r="O583" s="31">
        <v>1</v>
      </c>
      <c r="P583" s="32">
        <v>2012</v>
      </c>
    </row>
    <row r="584" spans="1:16" x14ac:dyDescent="0.25">
      <c r="A584" s="1" t="s">
        <v>389</v>
      </c>
      <c r="B584" s="31">
        <v>45.7</v>
      </c>
      <c r="C584" s="1" t="s">
        <v>20</v>
      </c>
      <c r="D584" s="2">
        <v>42736</v>
      </c>
      <c r="E584" s="2">
        <v>42736</v>
      </c>
      <c r="F584" s="17">
        <v>1400000</v>
      </c>
      <c r="G584" s="17">
        <v>30634.57</v>
      </c>
      <c r="H584" s="31">
        <v>1</v>
      </c>
      <c r="I584" s="1" t="s">
        <v>21</v>
      </c>
      <c r="J584" s="1" t="s">
        <v>22</v>
      </c>
      <c r="K584" s="1" t="s">
        <v>360</v>
      </c>
      <c r="L584" s="1" t="s">
        <v>359</v>
      </c>
      <c r="M584" s="1" t="s">
        <v>390</v>
      </c>
      <c r="N584" s="31">
        <v>1</v>
      </c>
      <c r="O584" s="31">
        <v>1</v>
      </c>
      <c r="P584" s="32">
        <v>2013</v>
      </c>
    </row>
    <row r="585" spans="1:16" x14ac:dyDescent="0.25">
      <c r="A585" s="1" t="s">
        <v>367</v>
      </c>
      <c r="B585" s="31">
        <v>53.2</v>
      </c>
      <c r="C585" s="1" t="s">
        <v>20</v>
      </c>
      <c r="D585" s="2">
        <v>42675</v>
      </c>
      <c r="E585" s="2">
        <v>42675</v>
      </c>
      <c r="F585" s="17">
        <v>1630000</v>
      </c>
      <c r="G585" s="17">
        <v>30639.1</v>
      </c>
      <c r="H585" s="31">
        <v>1</v>
      </c>
      <c r="I585" s="1" t="s">
        <v>21</v>
      </c>
      <c r="J585" s="1" t="s">
        <v>22</v>
      </c>
      <c r="K585" s="1" t="s">
        <v>360</v>
      </c>
      <c r="L585" s="1" t="s">
        <v>359</v>
      </c>
      <c r="M585" s="1" t="s">
        <v>336</v>
      </c>
      <c r="N585" s="31">
        <v>4</v>
      </c>
      <c r="O585" s="31">
        <v>2</v>
      </c>
      <c r="P585" s="32">
        <v>2006</v>
      </c>
    </row>
    <row r="586" spans="1:16" x14ac:dyDescent="0.25">
      <c r="A586" s="1" t="s">
        <v>367</v>
      </c>
      <c r="B586" s="31">
        <v>53.2</v>
      </c>
      <c r="C586" s="1" t="s">
        <v>20</v>
      </c>
      <c r="D586" s="2">
        <v>42675</v>
      </c>
      <c r="E586" s="2">
        <v>42675</v>
      </c>
      <c r="F586" s="17">
        <v>1630000</v>
      </c>
      <c r="G586" s="17">
        <v>30639.1</v>
      </c>
      <c r="H586" s="31">
        <v>1</v>
      </c>
      <c r="I586" s="1" t="s">
        <v>21</v>
      </c>
      <c r="J586" s="1" t="s">
        <v>22</v>
      </c>
      <c r="K586" s="1" t="s">
        <v>360</v>
      </c>
      <c r="L586" s="1" t="s">
        <v>359</v>
      </c>
      <c r="M586" s="1" t="s">
        <v>336</v>
      </c>
      <c r="N586" s="31">
        <v>4</v>
      </c>
      <c r="O586" s="31">
        <v>2</v>
      </c>
      <c r="P586" s="32">
        <v>2006</v>
      </c>
    </row>
    <row r="587" spans="1:16" x14ac:dyDescent="0.25">
      <c r="A587" s="1" t="s">
        <v>367</v>
      </c>
      <c r="B587" s="31">
        <v>60.5</v>
      </c>
      <c r="C587" s="1" t="s">
        <v>20</v>
      </c>
      <c r="D587" s="2">
        <v>42675</v>
      </c>
      <c r="E587" s="2">
        <v>42675</v>
      </c>
      <c r="F587" s="17">
        <v>1867848.95</v>
      </c>
      <c r="G587" s="17">
        <v>30873.54</v>
      </c>
      <c r="H587" s="31">
        <v>1</v>
      </c>
      <c r="I587" s="1" t="s">
        <v>21</v>
      </c>
      <c r="J587" s="1" t="s">
        <v>22</v>
      </c>
      <c r="K587" s="1" t="s">
        <v>360</v>
      </c>
      <c r="L587" s="1" t="s">
        <v>359</v>
      </c>
      <c r="M587" s="1" t="s">
        <v>363</v>
      </c>
      <c r="N587" s="31">
        <v>7</v>
      </c>
      <c r="O587" s="31">
        <v>1</v>
      </c>
      <c r="P587" s="32">
        <v>2014</v>
      </c>
    </row>
    <row r="588" spans="1:16" x14ac:dyDescent="0.25">
      <c r="A588" s="1" t="s">
        <v>381</v>
      </c>
      <c r="B588" s="31">
        <v>57.9</v>
      </c>
      <c r="C588" s="1" t="s">
        <v>20</v>
      </c>
      <c r="D588" s="2">
        <v>42767</v>
      </c>
      <c r="E588" s="2">
        <v>42767</v>
      </c>
      <c r="F588" s="17">
        <v>1800000</v>
      </c>
      <c r="G588" s="17">
        <v>31088.080000000002</v>
      </c>
      <c r="H588" s="31">
        <v>1</v>
      </c>
      <c r="I588" s="1" t="s">
        <v>21</v>
      </c>
      <c r="J588" s="1" t="s">
        <v>22</v>
      </c>
      <c r="K588" s="1" t="s">
        <v>360</v>
      </c>
      <c r="L588" s="1" t="s">
        <v>359</v>
      </c>
      <c r="M588" s="1" t="s">
        <v>363</v>
      </c>
      <c r="N588" s="31">
        <v>2</v>
      </c>
      <c r="O588" s="31">
        <v>1</v>
      </c>
      <c r="P588" s="32">
        <v>2006</v>
      </c>
    </row>
    <row r="589" spans="1:16" x14ac:dyDescent="0.25">
      <c r="A589" s="1" t="s">
        <v>384</v>
      </c>
      <c r="B589" s="31">
        <v>45.9</v>
      </c>
      <c r="C589" s="1" t="s">
        <v>20</v>
      </c>
      <c r="D589" s="2">
        <v>42767</v>
      </c>
      <c r="E589" s="2">
        <v>42767</v>
      </c>
      <c r="F589" s="17">
        <v>1430000</v>
      </c>
      <c r="G589" s="17">
        <v>31154.68</v>
      </c>
      <c r="H589" s="31">
        <v>1</v>
      </c>
      <c r="I589" s="1" t="s">
        <v>21</v>
      </c>
      <c r="J589" s="1" t="s">
        <v>22</v>
      </c>
      <c r="K589" s="1" t="s">
        <v>360</v>
      </c>
      <c r="L589" s="1" t="s">
        <v>359</v>
      </c>
      <c r="M589" s="1" t="s">
        <v>336</v>
      </c>
      <c r="N589" s="31">
        <v>1</v>
      </c>
      <c r="O589" s="31">
        <v>2</v>
      </c>
      <c r="P589" s="32">
        <v>2010</v>
      </c>
    </row>
    <row r="590" spans="1:16" x14ac:dyDescent="0.25">
      <c r="A590" s="1" t="s">
        <v>384</v>
      </c>
      <c r="B590" s="31">
        <v>45.9</v>
      </c>
      <c r="C590" s="1" t="s">
        <v>20</v>
      </c>
      <c r="D590" s="2">
        <v>42767</v>
      </c>
      <c r="E590" s="2">
        <v>42767</v>
      </c>
      <c r="F590" s="17">
        <v>1430000</v>
      </c>
      <c r="G590" s="17">
        <v>31154.68</v>
      </c>
      <c r="H590" s="31">
        <v>1</v>
      </c>
      <c r="I590" s="1" t="s">
        <v>21</v>
      </c>
      <c r="J590" s="1" t="s">
        <v>22</v>
      </c>
      <c r="K590" s="1" t="s">
        <v>360</v>
      </c>
      <c r="L590" s="1" t="s">
        <v>359</v>
      </c>
      <c r="M590" s="1" t="s">
        <v>336</v>
      </c>
      <c r="N590" s="31">
        <v>1</v>
      </c>
      <c r="O590" s="31">
        <v>2</v>
      </c>
      <c r="P590" s="32">
        <v>2010</v>
      </c>
    </row>
    <row r="591" spans="1:16" x14ac:dyDescent="0.25">
      <c r="A591" s="1" t="s">
        <v>378</v>
      </c>
      <c r="B591" s="31">
        <v>47.9</v>
      </c>
      <c r="C591" s="1" t="s">
        <v>20</v>
      </c>
      <c r="D591" s="2">
        <v>42795</v>
      </c>
      <c r="E591" s="2">
        <v>42795</v>
      </c>
      <c r="F591" s="17">
        <v>1500000</v>
      </c>
      <c r="G591" s="17">
        <v>31315.24</v>
      </c>
      <c r="H591" s="31">
        <v>1</v>
      </c>
      <c r="I591" s="1" t="s">
        <v>21</v>
      </c>
      <c r="J591" s="1" t="s">
        <v>22</v>
      </c>
      <c r="K591" s="1" t="s">
        <v>360</v>
      </c>
      <c r="L591" s="1" t="s">
        <v>359</v>
      </c>
      <c r="M591" s="1" t="s">
        <v>299</v>
      </c>
      <c r="N591" s="31">
        <v>3</v>
      </c>
      <c r="O591" s="31">
        <v>1</v>
      </c>
      <c r="P591" s="32">
        <v>2015</v>
      </c>
    </row>
    <row r="592" spans="1:16" x14ac:dyDescent="0.25">
      <c r="A592" s="1" t="s">
        <v>400</v>
      </c>
      <c r="B592" s="31">
        <v>44.7</v>
      </c>
      <c r="C592" s="1" t="s">
        <v>20</v>
      </c>
      <c r="D592" s="2">
        <v>42736</v>
      </c>
      <c r="E592" s="2">
        <v>42736</v>
      </c>
      <c r="F592" s="17">
        <v>1400000</v>
      </c>
      <c r="G592" s="17">
        <v>31319.91</v>
      </c>
      <c r="H592" s="31">
        <v>1</v>
      </c>
      <c r="I592" s="1" t="s">
        <v>21</v>
      </c>
      <c r="J592" s="1" t="s">
        <v>22</v>
      </c>
      <c r="K592" s="1" t="s">
        <v>360</v>
      </c>
      <c r="L592" s="1" t="s">
        <v>359</v>
      </c>
      <c r="M592" s="1" t="s">
        <v>370</v>
      </c>
      <c r="N592" s="31">
        <v>1</v>
      </c>
      <c r="O592" s="31">
        <v>1</v>
      </c>
      <c r="P592" s="32">
        <v>2013</v>
      </c>
    </row>
    <row r="593" spans="1:16" x14ac:dyDescent="0.25">
      <c r="A593" s="1" t="s">
        <v>364</v>
      </c>
      <c r="B593" s="31">
        <v>32.799999999999997</v>
      </c>
      <c r="C593" s="1" t="s">
        <v>20</v>
      </c>
      <c r="D593" s="2">
        <v>42795</v>
      </c>
      <c r="E593" s="2">
        <v>42795</v>
      </c>
      <c r="F593" s="17">
        <v>1028000</v>
      </c>
      <c r="G593" s="17">
        <v>31341.46</v>
      </c>
      <c r="H593" s="31">
        <v>1</v>
      </c>
      <c r="I593" s="1" t="s">
        <v>21</v>
      </c>
      <c r="J593" s="1" t="s">
        <v>22</v>
      </c>
      <c r="K593" s="1" t="s">
        <v>360</v>
      </c>
      <c r="L593" s="1" t="s">
        <v>359</v>
      </c>
      <c r="M593" s="1"/>
      <c r="N593" s="31">
        <v>5</v>
      </c>
      <c r="O593" s="31">
        <v>1</v>
      </c>
      <c r="P593" s="32">
        <v>2011</v>
      </c>
    </row>
    <row r="594" spans="1:16" x14ac:dyDescent="0.25">
      <c r="A594" s="1" t="s">
        <v>362</v>
      </c>
      <c r="B594" s="31">
        <v>43.3</v>
      </c>
      <c r="C594" s="1" t="s">
        <v>20</v>
      </c>
      <c r="D594" s="2">
        <v>42644</v>
      </c>
      <c r="E594" s="2">
        <v>42675</v>
      </c>
      <c r="F594" s="17">
        <v>1360000</v>
      </c>
      <c r="G594" s="17">
        <v>31408.78</v>
      </c>
      <c r="H594" s="31">
        <v>1</v>
      </c>
      <c r="I594" s="1" t="s">
        <v>21</v>
      </c>
      <c r="J594" s="1" t="s">
        <v>22</v>
      </c>
      <c r="K594" s="1" t="s">
        <v>360</v>
      </c>
      <c r="L594" s="1" t="s">
        <v>359</v>
      </c>
      <c r="M594" s="1" t="s">
        <v>299</v>
      </c>
      <c r="N594" s="31">
        <v>1</v>
      </c>
      <c r="O594" s="31">
        <v>1</v>
      </c>
      <c r="P594" s="32">
        <v>2000</v>
      </c>
    </row>
    <row r="595" spans="1:16" x14ac:dyDescent="0.25">
      <c r="A595" s="1" t="s">
        <v>362</v>
      </c>
      <c r="B595" s="31">
        <v>55.5</v>
      </c>
      <c r="C595" s="1" t="s">
        <v>20</v>
      </c>
      <c r="D595" s="2">
        <v>42675</v>
      </c>
      <c r="E595" s="2">
        <v>42675</v>
      </c>
      <c r="F595" s="17">
        <v>1752000</v>
      </c>
      <c r="G595" s="17">
        <v>31567.57</v>
      </c>
      <c r="H595" s="31">
        <v>1</v>
      </c>
      <c r="I595" s="1" t="s">
        <v>21</v>
      </c>
      <c r="J595" s="1" t="s">
        <v>22</v>
      </c>
      <c r="K595" s="1" t="s">
        <v>360</v>
      </c>
      <c r="L595" s="1" t="s">
        <v>359</v>
      </c>
      <c r="M595" s="1" t="s">
        <v>368</v>
      </c>
      <c r="N595" s="31">
        <v>3</v>
      </c>
      <c r="O595" s="31">
        <v>1</v>
      </c>
      <c r="P595" s="32">
        <v>2013</v>
      </c>
    </row>
    <row r="596" spans="1:16" x14ac:dyDescent="0.25">
      <c r="A596" s="1" t="s">
        <v>378</v>
      </c>
      <c r="B596" s="31">
        <v>45.5</v>
      </c>
      <c r="C596" s="1" t="s">
        <v>20</v>
      </c>
      <c r="D596" s="2">
        <v>42767</v>
      </c>
      <c r="E596" s="2">
        <v>42767</v>
      </c>
      <c r="F596" s="17">
        <v>1440000</v>
      </c>
      <c r="G596" s="17">
        <v>31648.35</v>
      </c>
      <c r="H596" s="31">
        <v>1</v>
      </c>
      <c r="I596" s="1" t="s">
        <v>21</v>
      </c>
      <c r="J596" s="1" t="s">
        <v>22</v>
      </c>
      <c r="K596" s="1" t="s">
        <v>360</v>
      </c>
      <c r="L596" s="1" t="s">
        <v>359</v>
      </c>
      <c r="M596" s="1" t="s">
        <v>61</v>
      </c>
      <c r="N596" s="31">
        <v>4</v>
      </c>
      <c r="O596" s="31">
        <v>1</v>
      </c>
      <c r="P596" s="32">
        <v>2014</v>
      </c>
    </row>
    <row r="597" spans="1:16" x14ac:dyDescent="0.25">
      <c r="A597" s="1" t="s">
        <v>395</v>
      </c>
      <c r="B597" s="31">
        <v>63</v>
      </c>
      <c r="C597" s="1" t="s">
        <v>20</v>
      </c>
      <c r="D597" s="2">
        <v>42795</v>
      </c>
      <c r="E597" s="2">
        <v>42795</v>
      </c>
      <c r="F597" s="17">
        <v>2000000</v>
      </c>
      <c r="G597" s="17">
        <v>31746.03</v>
      </c>
      <c r="H597" s="31">
        <v>1</v>
      </c>
      <c r="I597" s="1" t="s">
        <v>21</v>
      </c>
      <c r="J597" s="1" t="s">
        <v>22</v>
      </c>
      <c r="K597" s="1" t="s">
        <v>360</v>
      </c>
      <c r="L597" s="1" t="s">
        <v>359</v>
      </c>
      <c r="M597" s="1" t="s">
        <v>370</v>
      </c>
      <c r="N597" s="31">
        <v>2</v>
      </c>
      <c r="O597" s="31">
        <v>1</v>
      </c>
      <c r="P597" s="32">
        <v>2013</v>
      </c>
    </row>
    <row r="598" spans="1:16" x14ac:dyDescent="0.25">
      <c r="A598" s="1" t="s">
        <v>394</v>
      </c>
      <c r="B598" s="31">
        <v>43.7</v>
      </c>
      <c r="C598" s="1" t="s">
        <v>20</v>
      </c>
      <c r="D598" s="2">
        <v>42675</v>
      </c>
      <c r="E598" s="2">
        <v>42675</v>
      </c>
      <c r="F598" s="17">
        <v>1392000</v>
      </c>
      <c r="G598" s="17">
        <v>31853.55</v>
      </c>
      <c r="H598" s="31">
        <v>1</v>
      </c>
      <c r="I598" s="1" t="s">
        <v>21</v>
      </c>
      <c r="J598" s="1" t="s">
        <v>22</v>
      </c>
      <c r="K598" s="1" t="s">
        <v>360</v>
      </c>
      <c r="L598" s="1" t="s">
        <v>359</v>
      </c>
      <c r="M598" s="1" t="s">
        <v>393</v>
      </c>
      <c r="N598" s="31">
        <v>2</v>
      </c>
      <c r="O598" s="31">
        <v>1</v>
      </c>
      <c r="P598" s="32">
        <v>2000</v>
      </c>
    </row>
    <row r="599" spans="1:16" x14ac:dyDescent="0.25">
      <c r="A599" s="1" t="s">
        <v>367</v>
      </c>
      <c r="B599" s="31">
        <v>32.6</v>
      </c>
      <c r="C599" s="1" t="s">
        <v>20</v>
      </c>
      <c r="D599" s="2">
        <v>42675</v>
      </c>
      <c r="E599" s="2">
        <v>42675</v>
      </c>
      <c r="F599" s="17">
        <v>1040000</v>
      </c>
      <c r="G599" s="17">
        <v>31901.84</v>
      </c>
      <c r="H599" s="31">
        <v>1</v>
      </c>
      <c r="I599" s="1" t="s">
        <v>21</v>
      </c>
      <c r="J599" s="1" t="s">
        <v>22</v>
      </c>
      <c r="K599" s="1" t="s">
        <v>360</v>
      </c>
      <c r="L599" s="1" t="s">
        <v>359</v>
      </c>
      <c r="M599" s="1" t="s">
        <v>363</v>
      </c>
      <c r="N599" s="31">
        <v>2</v>
      </c>
      <c r="O599" s="31">
        <v>1</v>
      </c>
      <c r="P599" s="32">
        <v>2000</v>
      </c>
    </row>
    <row r="600" spans="1:16" x14ac:dyDescent="0.25">
      <c r="A600" s="1" t="s">
        <v>394</v>
      </c>
      <c r="B600" s="31">
        <v>45.2</v>
      </c>
      <c r="C600" s="1" t="s">
        <v>20</v>
      </c>
      <c r="D600" s="2">
        <v>42736</v>
      </c>
      <c r="E600" s="2">
        <v>42736</v>
      </c>
      <c r="F600" s="17">
        <v>1450000</v>
      </c>
      <c r="G600" s="17">
        <v>32079.65</v>
      </c>
      <c r="H600" s="31">
        <v>1</v>
      </c>
      <c r="I600" s="1" t="s">
        <v>21</v>
      </c>
      <c r="J600" s="1" t="s">
        <v>22</v>
      </c>
      <c r="K600" s="1" t="s">
        <v>360</v>
      </c>
      <c r="L600" s="1" t="s">
        <v>359</v>
      </c>
      <c r="M600" s="1" t="s">
        <v>393</v>
      </c>
      <c r="N600" s="31">
        <v>2</v>
      </c>
      <c r="O600" s="31">
        <v>1</v>
      </c>
      <c r="P600" s="32">
        <v>2004</v>
      </c>
    </row>
    <row r="601" spans="1:16" x14ac:dyDescent="0.25">
      <c r="A601" s="1" t="s">
        <v>362</v>
      </c>
      <c r="B601" s="31">
        <v>28.9</v>
      </c>
      <c r="C601" s="1" t="s">
        <v>20</v>
      </c>
      <c r="D601" s="2">
        <v>42675</v>
      </c>
      <c r="E601" s="2">
        <v>42675</v>
      </c>
      <c r="F601" s="17">
        <v>930000</v>
      </c>
      <c r="G601" s="17">
        <v>32179.93</v>
      </c>
      <c r="H601" s="31">
        <v>1</v>
      </c>
      <c r="I601" s="1" t="s">
        <v>21</v>
      </c>
      <c r="J601" s="1" t="s">
        <v>22</v>
      </c>
      <c r="K601" s="1" t="s">
        <v>360</v>
      </c>
      <c r="L601" s="1" t="s">
        <v>359</v>
      </c>
      <c r="M601" s="1" t="s">
        <v>299</v>
      </c>
      <c r="N601" s="31">
        <v>1</v>
      </c>
      <c r="O601" s="31">
        <v>1</v>
      </c>
      <c r="P601" s="32">
        <v>2001</v>
      </c>
    </row>
    <row r="602" spans="1:16" x14ac:dyDescent="0.25">
      <c r="A602" s="1" t="s">
        <v>378</v>
      </c>
      <c r="B602" s="31">
        <v>36.799999999999997</v>
      </c>
      <c r="C602" s="1" t="s">
        <v>20</v>
      </c>
      <c r="D602" s="2">
        <v>42767</v>
      </c>
      <c r="E602" s="2">
        <v>42767</v>
      </c>
      <c r="F602" s="17">
        <v>1187000</v>
      </c>
      <c r="G602" s="17">
        <v>32255.43</v>
      </c>
      <c r="H602" s="31">
        <v>1</v>
      </c>
      <c r="I602" s="1" t="s">
        <v>21</v>
      </c>
      <c r="J602" s="1" t="s">
        <v>22</v>
      </c>
      <c r="K602" s="1" t="s">
        <v>360</v>
      </c>
      <c r="L602" s="1" t="s">
        <v>359</v>
      </c>
      <c r="M602" s="1" t="s">
        <v>379</v>
      </c>
      <c r="N602" s="31">
        <v>4</v>
      </c>
      <c r="O602" s="31">
        <v>2</v>
      </c>
      <c r="P602" s="32">
        <v>2007</v>
      </c>
    </row>
    <row r="603" spans="1:16" x14ac:dyDescent="0.25">
      <c r="A603" s="1" t="s">
        <v>378</v>
      </c>
      <c r="B603" s="31">
        <v>36.799999999999997</v>
      </c>
      <c r="C603" s="1" t="s">
        <v>20</v>
      </c>
      <c r="D603" s="2">
        <v>42767</v>
      </c>
      <c r="E603" s="2">
        <v>42767</v>
      </c>
      <c r="F603" s="17">
        <v>1187000</v>
      </c>
      <c r="G603" s="17">
        <v>32255.43</v>
      </c>
      <c r="H603" s="31">
        <v>1</v>
      </c>
      <c r="I603" s="1" t="s">
        <v>21</v>
      </c>
      <c r="J603" s="1" t="s">
        <v>22</v>
      </c>
      <c r="K603" s="1" t="s">
        <v>360</v>
      </c>
      <c r="L603" s="1" t="s">
        <v>359</v>
      </c>
      <c r="M603" s="1" t="s">
        <v>379</v>
      </c>
      <c r="N603" s="31">
        <v>4</v>
      </c>
      <c r="O603" s="31">
        <v>2</v>
      </c>
      <c r="P603" s="32">
        <v>2007</v>
      </c>
    </row>
    <row r="604" spans="1:16" x14ac:dyDescent="0.25">
      <c r="A604" s="1" t="s">
        <v>366</v>
      </c>
      <c r="B604" s="31">
        <v>44.6</v>
      </c>
      <c r="C604" s="1" t="s">
        <v>20</v>
      </c>
      <c r="D604" s="2">
        <v>42705</v>
      </c>
      <c r="E604" s="2">
        <v>42705</v>
      </c>
      <c r="F604" s="17">
        <v>1440000</v>
      </c>
      <c r="G604" s="17">
        <v>32287</v>
      </c>
      <c r="H604" s="31">
        <v>1</v>
      </c>
      <c r="I604" s="1" t="s">
        <v>21</v>
      </c>
      <c r="J604" s="1" t="s">
        <v>22</v>
      </c>
      <c r="K604" s="1" t="s">
        <v>360</v>
      </c>
      <c r="L604" s="1" t="s">
        <v>359</v>
      </c>
      <c r="M604" s="1" t="s">
        <v>386</v>
      </c>
      <c r="N604" s="31">
        <v>4</v>
      </c>
      <c r="O604" s="31">
        <v>1</v>
      </c>
      <c r="P604" s="32">
        <v>2004</v>
      </c>
    </row>
    <row r="605" spans="1:16" x14ac:dyDescent="0.25">
      <c r="A605" s="1" t="s">
        <v>378</v>
      </c>
      <c r="B605" s="31">
        <v>48</v>
      </c>
      <c r="C605" s="1" t="s">
        <v>20</v>
      </c>
      <c r="D605" s="2">
        <v>42705</v>
      </c>
      <c r="E605" s="2">
        <v>42705</v>
      </c>
      <c r="F605" s="17">
        <v>1565000</v>
      </c>
      <c r="G605" s="17">
        <v>32604.17</v>
      </c>
      <c r="H605" s="31">
        <v>1</v>
      </c>
      <c r="I605" s="1" t="s">
        <v>21</v>
      </c>
      <c r="J605" s="1" t="s">
        <v>22</v>
      </c>
      <c r="K605" s="1" t="s">
        <v>360</v>
      </c>
      <c r="L605" s="1" t="s">
        <v>359</v>
      </c>
      <c r="M605" s="1" t="s">
        <v>299</v>
      </c>
      <c r="N605" s="31">
        <v>4</v>
      </c>
      <c r="O605" s="31">
        <v>1</v>
      </c>
      <c r="P605" s="32">
        <v>2015</v>
      </c>
    </row>
    <row r="606" spans="1:16" x14ac:dyDescent="0.25">
      <c r="A606" s="1" t="s">
        <v>399</v>
      </c>
      <c r="B606" s="31">
        <v>41.3</v>
      </c>
      <c r="C606" s="1" t="s">
        <v>20</v>
      </c>
      <c r="D606" s="2">
        <v>42795</v>
      </c>
      <c r="E606" s="2">
        <v>42795</v>
      </c>
      <c r="F606" s="17">
        <v>1350000</v>
      </c>
      <c r="G606" s="17">
        <v>32687.65</v>
      </c>
      <c r="H606" s="31">
        <v>1</v>
      </c>
      <c r="I606" s="1" t="s">
        <v>21</v>
      </c>
      <c r="J606" s="1" t="s">
        <v>22</v>
      </c>
      <c r="K606" s="1" t="s">
        <v>360</v>
      </c>
      <c r="L606" s="1" t="s">
        <v>359</v>
      </c>
      <c r="M606" s="1" t="s">
        <v>416</v>
      </c>
      <c r="N606" s="31">
        <v>1</v>
      </c>
      <c r="O606" s="31">
        <v>1</v>
      </c>
      <c r="P606" s="32">
        <v>2001</v>
      </c>
    </row>
    <row r="607" spans="1:16" x14ac:dyDescent="0.25">
      <c r="A607" s="1" t="s">
        <v>362</v>
      </c>
      <c r="B607" s="31">
        <v>48.9</v>
      </c>
      <c r="C607" s="1" t="s">
        <v>20</v>
      </c>
      <c r="D607" s="2">
        <v>42675</v>
      </c>
      <c r="E607" s="2">
        <v>42675</v>
      </c>
      <c r="F607" s="17">
        <v>1600000</v>
      </c>
      <c r="G607" s="17">
        <v>32719.84</v>
      </c>
      <c r="H607" s="31">
        <v>1</v>
      </c>
      <c r="I607" s="1" t="s">
        <v>21</v>
      </c>
      <c r="J607" s="1" t="s">
        <v>22</v>
      </c>
      <c r="K607" s="1" t="s">
        <v>360</v>
      </c>
      <c r="L607" s="1" t="s">
        <v>359</v>
      </c>
      <c r="M607" s="1" t="s">
        <v>363</v>
      </c>
      <c r="N607" s="31">
        <v>5</v>
      </c>
      <c r="O607" s="31">
        <v>1</v>
      </c>
      <c r="P607" s="32">
        <v>2004</v>
      </c>
    </row>
    <row r="608" spans="1:16" x14ac:dyDescent="0.25">
      <c r="A608" s="1" t="s">
        <v>367</v>
      </c>
      <c r="B608" s="31">
        <v>39.700000000000003</v>
      </c>
      <c r="C608" s="1" t="s">
        <v>20</v>
      </c>
      <c r="D608" s="2">
        <v>42736</v>
      </c>
      <c r="E608" s="2">
        <v>42767</v>
      </c>
      <c r="F608" s="17">
        <v>1300000</v>
      </c>
      <c r="G608" s="17">
        <v>32745.59</v>
      </c>
      <c r="H608" s="31">
        <v>1</v>
      </c>
      <c r="I608" s="1" t="s">
        <v>21</v>
      </c>
      <c r="J608" s="1" t="s">
        <v>22</v>
      </c>
      <c r="K608" s="1" t="s">
        <v>360</v>
      </c>
      <c r="L608" s="1" t="s">
        <v>359</v>
      </c>
      <c r="M608" s="1" t="s">
        <v>363</v>
      </c>
      <c r="N608" s="31">
        <v>3</v>
      </c>
      <c r="O608" s="31">
        <v>2</v>
      </c>
      <c r="P608" s="32">
        <v>2009</v>
      </c>
    </row>
    <row r="609" spans="1:16" x14ac:dyDescent="0.25">
      <c r="A609" s="1" t="s">
        <v>367</v>
      </c>
      <c r="B609" s="31">
        <v>39.700000000000003</v>
      </c>
      <c r="C609" s="1" t="s">
        <v>20</v>
      </c>
      <c r="D609" s="2">
        <v>42736</v>
      </c>
      <c r="E609" s="2">
        <v>42767</v>
      </c>
      <c r="F609" s="17">
        <v>1300000</v>
      </c>
      <c r="G609" s="17">
        <v>32745.59</v>
      </c>
      <c r="H609" s="31">
        <v>1</v>
      </c>
      <c r="I609" s="1" t="s">
        <v>21</v>
      </c>
      <c r="J609" s="1" t="s">
        <v>22</v>
      </c>
      <c r="K609" s="1" t="s">
        <v>360</v>
      </c>
      <c r="L609" s="1" t="s">
        <v>359</v>
      </c>
      <c r="M609" s="1" t="s">
        <v>363</v>
      </c>
      <c r="N609" s="31">
        <v>3</v>
      </c>
      <c r="O609" s="31">
        <v>2</v>
      </c>
      <c r="P609" s="32">
        <v>2009</v>
      </c>
    </row>
    <row r="610" spans="1:16" x14ac:dyDescent="0.25">
      <c r="A610" s="1" t="s">
        <v>391</v>
      </c>
      <c r="B610" s="31">
        <v>50.3</v>
      </c>
      <c r="C610" s="1" t="s">
        <v>20</v>
      </c>
      <c r="D610" s="2">
        <v>42705</v>
      </c>
      <c r="E610" s="2">
        <v>42705</v>
      </c>
      <c r="F610" s="17">
        <v>1650000</v>
      </c>
      <c r="G610" s="17">
        <v>32803.18</v>
      </c>
      <c r="H610" s="31">
        <v>1</v>
      </c>
      <c r="I610" s="1" t="s">
        <v>21</v>
      </c>
      <c r="J610" s="1" t="s">
        <v>22</v>
      </c>
      <c r="K610" s="1" t="s">
        <v>360</v>
      </c>
      <c r="L610" s="1" t="s">
        <v>359</v>
      </c>
      <c r="M610" s="1" t="s">
        <v>234</v>
      </c>
      <c r="N610" s="31">
        <v>2</v>
      </c>
      <c r="O610" s="31">
        <v>1</v>
      </c>
      <c r="P610" s="32">
        <v>2002</v>
      </c>
    </row>
    <row r="611" spans="1:16" x14ac:dyDescent="0.25">
      <c r="A611" s="1" t="s">
        <v>402</v>
      </c>
      <c r="B611" s="31">
        <v>59.7</v>
      </c>
      <c r="C611" s="1" t="s">
        <v>20</v>
      </c>
      <c r="D611" s="2">
        <v>42795</v>
      </c>
      <c r="E611" s="2">
        <v>42795</v>
      </c>
      <c r="F611" s="17">
        <v>1960000</v>
      </c>
      <c r="G611" s="17">
        <v>32830.82</v>
      </c>
      <c r="H611" s="31">
        <v>1</v>
      </c>
      <c r="I611" s="1" t="s">
        <v>21</v>
      </c>
      <c r="J611" s="1" t="s">
        <v>22</v>
      </c>
      <c r="K611" s="1" t="s">
        <v>360</v>
      </c>
      <c r="L611" s="1" t="s">
        <v>359</v>
      </c>
      <c r="M611" s="1" t="s">
        <v>299</v>
      </c>
      <c r="N611" s="31">
        <v>4</v>
      </c>
      <c r="O611" s="31">
        <v>1</v>
      </c>
      <c r="P611" s="32">
        <v>2016</v>
      </c>
    </row>
    <row r="612" spans="1:16" x14ac:dyDescent="0.25">
      <c r="A612" s="1" t="s">
        <v>411</v>
      </c>
      <c r="B612" s="31">
        <v>41.9</v>
      </c>
      <c r="C612" s="1" t="s">
        <v>20</v>
      </c>
      <c r="D612" s="2">
        <v>42736</v>
      </c>
      <c r="E612" s="2">
        <v>42736</v>
      </c>
      <c r="F612" s="17">
        <v>1380000</v>
      </c>
      <c r="G612" s="17">
        <v>32935.56</v>
      </c>
      <c r="H612" s="31">
        <v>1</v>
      </c>
      <c r="I612" s="1" t="s">
        <v>21</v>
      </c>
      <c r="J612" s="1" t="s">
        <v>22</v>
      </c>
      <c r="K612" s="1" t="s">
        <v>360</v>
      </c>
      <c r="L612" s="1" t="s">
        <v>359</v>
      </c>
      <c r="M612" s="1" t="s">
        <v>153</v>
      </c>
      <c r="N612" s="31">
        <v>1</v>
      </c>
      <c r="O612" s="31">
        <v>2</v>
      </c>
      <c r="P612" s="32">
        <v>2013</v>
      </c>
    </row>
    <row r="613" spans="1:16" x14ac:dyDescent="0.25">
      <c r="A613" s="1" t="s">
        <v>411</v>
      </c>
      <c r="B613" s="31">
        <v>41.9</v>
      </c>
      <c r="C613" s="1" t="s">
        <v>20</v>
      </c>
      <c r="D613" s="2">
        <v>42736</v>
      </c>
      <c r="E613" s="2">
        <v>42736</v>
      </c>
      <c r="F613" s="17">
        <v>1380000</v>
      </c>
      <c r="G613" s="17">
        <v>32935.56</v>
      </c>
      <c r="H613" s="31">
        <v>1</v>
      </c>
      <c r="I613" s="1" t="s">
        <v>21</v>
      </c>
      <c r="J613" s="1" t="s">
        <v>22</v>
      </c>
      <c r="K613" s="1" t="s">
        <v>360</v>
      </c>
      <c r="L613" s="1" t="s">
        <v>359</v>
      </c>
      <c r="M613" s="1" t="s">
        <v>153</v>
      </c>
      <c r="N613" s="31">
        <v>1</v>
      </c>
      <c r="O613" s="31">
        <v>2</v>
      </c>
      <c r="P613" s="32">
        <v>2013</v>
      </c>
    </row>
    <row r="614" spans="1:16" x14ac:dyDescent="0.25">
      <c r="A614" s="1" t="s">
        <v>384</v>
      </c>
      <c r="B614" s="31">
        <v>43.6</v>
      </c>
      <c r="C614" s="1" t="s">
        <v>20</v>
      </c>
      <c r="D614" s="2">
        <v>42705</v>
      </c>
      <c r="E614" s="2">
        <v>42705</v>
      </c>
      <c r="F614" s="17">
        <v>1440000</v>
      </c>
      <c r="G614" s="17">
        <v>33027.519999999997</v>
      </c>
      <c r="H614" s="31">
        <v>1</v>
      </c>
      <c r="I614" s="1" t="s">
        <v>21</v>
      </c>
      <c r="J614" s="1" t="s">
        <v>22</v>
      </c>
      <c r="K614" s="1" t="s">
        <v>360</v>
      </c>
      <c r="L614" s="1" t="s">
        <v>359</v>
      </c>
      <c r="M614" s="1" t="s">
        <v>336</v>
      </c>
      <c r="N614" s="31">
        <v>1</v>
      </c>
      <c r="O614" s="31">
        <v>1</v>
      </c>
      <c r="P614" s="32">
        <v>2005</v>
      </c>
    </row>
    <row r="615" spans="1:16" x14ac:dyDescent="0.25">
      <c r="A615" s="1" t="s">
        <v>367</v>
      </c>
      <c r="B615" s="31">
        <v>72</v>
      </c>
      <c r="C615" s="1" t="s">
        <v>20</v>
      </c>
      <c r="D615" s="2">
        <v>42767</v>
      </c>
      <c r="E615" s="2">
        <v>42767</v>
      </c>
      <c r="F615" s="17">
        <v>2380000</v>
      </c>
      <c r="G615" s="17">
        <v>33055.56</v>
      </c>
      <c r="H615" s="31">
        <v>1</v>
      </c>
      <c r="I615" s="1" t="s">
        <v>21</v>
      </c>
      <c r="J615" s="1" t="s">
        <v>22</v>
      </c>
      <c r="K615" s="1" t="s">
        <v>360</v>
      </c>
      <c r="L615" s="1" t="s">
        <v>359</v>
      </c>
      <c r="M615" s="1" t="s">
        <v>363</v>
      </c>
      <c r="N615" s="31">
        <v>8</v>
      </c>
      <c r="O615" s="31">
        <v>2</v>
      </c>
      <c r="P615" s="32">
        <v>2016</v>
      </c>
    </row>
    <row r="616" spans="1:16" x14ac:dyDescent="0.25">
      <c r="A616" s="1" t="s">
        <v>367</v>
      </c>
      <c r="B616" s="31">
        <v>72</v>
      </c>
      <c r="C616" s="1" t="s">
        <v>20</v>
      </c>
      <c r="D616" s="2">
        <v>42767</v>
      </c>
      <c r="E616" s="2">
        <v>42767</v>
      </c>
      <c r="F616" s="17">
        <v>2380000</v>
      </c>
      <c r="G616" s="17">
        <v>33055.56</v>
      </c>
      <c r="H616" s="31">
        <v>1</v>
      </c>
      <c r="I616" s="1" t="s">
        <v>21</v>
      </c>
      <c r="J616" s="1" t="s">
        <v>22</v>
      </c>
      <c r="K616" s="1" t="s">
        <v>360</v>
      </c>
      <c r="L616" s="1" t="s">
        <v>359</v>
      </c>
      <c r="M616" s="1" t="s">
        <v>363</v>
      </c>
      <c r="N616" s="31">
        <v>8</v>
      </c>
      <c r="O616" s="31">
        <v>2</v>
      </c>
      <c r="P616" s="32">
        <v>2016</v>
      </c>
    </row>
    <row r="617" spans="1:16" x14ac:dyDescent="0.25">
      <c r="A617" s="1" t="s">
        <v>406</v>
      </c>
      <c r="B617" s="31">
        <v>78.400000000000006</v>
      </c>
      <c r="C617" s="1" t="s">
        <v>20</v>
      </c>
      <c r="D617" s="2">
        <v>42795</v>
      </c>
      <c r="E617" s="2">
        <v>42795</v>
      </c>
      <c r="F617" s="17">
        <v>2600000</v>
      </c>
      <c r="G617" s="17">
        <v>33163.269999999997</v>
      </c>
      <c r="H617" s="31">
        <v>1</v>
      </c>
      <c r="I617" s="1" t="s">
        <v>21</v>
      </c>
      <c r="J617" s="1" t="s">
        <v>22</v>
      </c>
      <c r="K617" s="1" t="s">
        <v>360</v>
      </c>
      <c r="L617" s="1" t="s">
        <v>359</v>
      </c>
      <c r="M617" s="1" t="s">
        <v>166</v>
      </c>
      <c r="N617" s="31">
        <v>5</v>
      </c>
      <c r="O617" s="31">
        <v>1</v>
      </c>
      <c r="P617" s="32">
        <v>2012</v>
      </c>
    </row>
    <row r="618" spans="1:16" x14ac:dyDescent="0.25">
      <c r="A618" s="1" t="s">
        <v>404</v>
      </c>
      <c r="B618" s="31">
        <v>41.8</v>
      </c>
      <c r="C618" s="1" t="s">
        <v>20</v>
      </c>
      <c r="D618" s="2">
        <v>42705</v>
      </c>
      <c r="E618" s="2">
        <v>42705</v>
      </c>
      <c r="F618" s="17">
        <v>1400000</v>
      </c>
      <c r="G618" s="17">
        <v>33492.82</v>
      </c>
      <c r="H618" s="31">
        <v>1</v>
      </c>
      <c r="I618" s="1" t="s">
        <v>21</v>
      </c>
      <c r="J618" s="1" t="s">
        <v>22</v>
      </c>
      <c r="K618" s="1" t="s">
        <v>360</v>
      </c>
      <c r="L618" s="1" t="s">
        <v>359</v>
      </c>
      <c r="M618" s="1" t="s">
        <v>405</v>
      </c>
      <c r="N618" s="31">
        <v>1</v>
      </c>
      <c r="O618" s="31">
        <v>2</v>
      </c>
      <c r="P618" s="32">
        <v>2006</v>
      </c>
    </row>
    <row r="619" spans="1:16" x14ac:dyDescent="0.25">
      <c r="A619" s="1" t="s">
        <v>404</v>
      </c>
      <c r="B619" s="31">
        <v>41.8</v>
      </c>
      <c r="C619" s="1" t="s">
        <v>20</v>
      </c>
      <c r="D619" s="2">
        <v>42705</v>
      </c>
      <c r="E619" s="2">
        <v>42705</v>
      </c>
      <c r="F619" s="17">
        <v>1400000</v>
      </c>
      <c r="G619" s="17">
        <v>33492.82</v>
      </c>
      <c r="H619" s="31">
        <v>1</v>
      </c>
      <c r="I619" s="1" t="s">
        <v>21</v>
      </c>
      <c r="J619" s="1" t="s">
        <v>22</v>
      </c>
      <c r="K619" s="1" t="s">
        <v>360</v>
      </c>
      <c r="L619" s="1" t="s">
        <v>359</v>
      </c>
      <c r="M619" s="1" t="s">
        <v>405</v>
      </c>
      <c r="N619" s="31">
        <v>1</v>
      </c>
      <c r="O619" s="31">
        <v>2</v>
      </c>
      <c r="P619" s="32">
        <v>2006</v>
      </c>
    </row>
    <row r="620" spans="1:16" x14ac:dyDescent="0.25">
      <c r="A620" s="1" t="s">
        <v>389</v>
      </c>
      <c r="B620" s="31">
        <v>60.2</v>
      </c>
      <c r="C620" s="1" t="s">
        <v>20</v>
      </c>
      <c r="D620" s="2">
        <v>42705</v>
      </c>
      <c r="E620" s="2">
        <v>42705</v>
      </c>
      <c r="F620" s="17">
        <v>2020000</v>
      </c>
      <c r="G620" s="17">
        <v>33554.82</v>
      </c>
      <c r="H620" s="31">
        <v>1</v>
      </c>
      <c r="I620" s="1" t="s">
        <v>21</v>
      </c>
      <c r="J620" s="1" t="s">
        <v>22</v>
      </c>
      <c r="K620" s="1" t="s">
        <v>360</v>
      </c>
      <c r="L620" s="1" t="s">
        <v>359</v>
      </c>
      <c r="M620" s="1" t="s">
        <v>153</v>
      </c>
      <c r="N620" s="31">
        <v>2</v>
      </c>
      <c r="O620" s="31">
        <v>1</v>
      </c>
      <c r="P620" s="32">
        <v>2011</v>
      </c>
    </row>
    <row r="621" spans="1:16" x14ac:dyDescent="0.25">
      <c r="A621" s="1" t="s">
        <v>389</v>
      </c>
      <c r="B621" s="31">
        <v>29.8</v>
      </c>
      <c r="C621" s="1" t="s">
        <v>20</v>
      </c>
      <c r="D621" s="2">
        <v>42767</v>
      </c>
      <c r="E621" s="2">
        <v>42767</v>
      </c>
      <c r="F621" s="17">
        <v>1000000</v>
      </c>
      <c r="G621" s="17">
        <v>33557.050000000003</v>
      </c>
      <c r="H621" s="31">
        <v>1</v>
      </c>
      <c r="I621" s="1" t="s">
        <v>21</v>
      </c>
      <c r="J621" s="1" t="s">
        <v>22</v>
      </c>
      <c r="K621" s="1" t="s">
        <v>360</v>
      </c>
      <c r="L621" s="1" t="s">
        <v>359</v>
      </c>
      <c r="M621" s="1" t="s">
        <v>128</v>
      </c>
      <c r="N621" s="31">
        <v>2</v>
      </c>
      <c r="O621" s="31">
        <v>1</v>
      </c>
      <c r="P621" s="32">
        <v>2012</v>
      </c>
    </row>
    <row r="622" spans="1:16" x14ac:dyDescent="0.25">
      <c r="A622" s="1" t="s">
        <v>371</v>
      </c>
      <c r="B622" s="31">
        <v>40.5</v>
      </c>
      <c r="C622" s="1" t="s">
        <v>20</v>
      </c>
      <c r="D622" s="2">
        <v>42644</v>
      </c>
      <c r="E622" s="2">
        <v>42644</v>
      </c>
      <c r="F622" s="17">
        <v>1360000</v>
      </c>
      <c r="G622" s="17">
        <v>33580.25</v>
      </c>
      <c r="H622" s="31">
        <v>1</v>
      </c>
      <c r="I622" s="1" t="s">
        <v>21</v>
      </c>
      <c r="J622" s="1" t="s">
        <v>22</v>
      </c>
      <c r="K622" s="1" t="s">
        <v>360</v>
      </c>
      <c r="L622" s="1" t="s">
        <v>359</v>
      </c>
      <c r="M622" s="1" t="s">
        <v>372</v>
      </c>
      <c r="N622" s="31">
        <v>6</v>
      </c>
      <c r="O622" s="31">
        <v>1</v>
      </c>
      <c r="P622" s="32">
        <v>2010</v>
      </c>
    </row>
    <row r="623" spans="1:16" x14ac:dyDescent="0.25">
      <c r="A623" s="1" t="s">
        <v>364</v>
      </c>
      <c r="B623" s="31">
        <v>35.700000000000003</v>
      </c>
      <c r="C623" s="1" t="s">
        <v>20</v>
      </c>
      <c r="D623" s="2">
        <v>42767</v>
      </c>
      <c r="E623" s="2">
        <v>42767</v>
      </c>
      <c r="F623" s="17">
        <v>1200000</v>
      </c>
      <c r="G623" s="17">
        <v>33613.449999999997</v>
      </c>
      <c r="H623" s="31">
        <v>1</v>
      </c>
      <c r="I623" s="1" t="s">
        <v>21</v>
      </c>
      <c r="J623" s="1" t="s">
        <v>22</v>
      </c>
      <c r="K623" s="1" t="s">
        <v>360</v>
      </c>
      <c r="L623" s="1" t="s">
        <v>359</v>
      </c>
      <c r="M623" s="1" t="s">
        <v>336</v>
      </c>
      <c r="N623" s="31">
        <v>4</v>
      </c>
      <c r="O623" s="31">
        <v>1</v>
      </c>
      <c r="P623" s="32">
        <v>2002</v>
      </c>
    </row>
    <row r="624" spans="1:16" x14ac:dyDescent="0.25">
      <c r="A624" s="1" t="s">
        <v>364</v>
      </c>
      <c r="B624" s="31">
        <v>56.8</v>
      </c>
      <c r="C624" s="1" t="s">
        <v>20</v>
      </c>
      <c r="D624" s="2">
        <v>42705</v>
      </c>
      <c r="E624" s="2">
        <v>42705</v>
      </c>
      <c r="F624" s="17">
        <v>1920000</v>
      </c>
      <c r="G624" s="17">
        <v>33802.82</v>
      </c>
      <c r="H624" s="31">
        <v>1</v>
      </c>
      <c r="I624" s="1" t="s">
        <v>21</v>
      </c>
      <c r="J624" s="1" t="s">
        <v>22</v>
      </c>
      <c r="K624" s="1" t="s">
        <v>360</v>
      </c>
      <c r="L624" s="1" t="s">
        <v>359</v>
      </c>
      <c r="M624" s="1"/>
      <c r="N624" s="31">
        <v>7</v>
      </c>
      <c r="O624" s="31">
        <v>2</v>
      </c>
      <c r="P624" s="32">
        <v>2015</v>
      </c>
    </row>
    <row r="625" spans="1:16" x14ac:dyDescent="0.25">
      <c r="A625" s="1" t="s">
        <v>364</v>
      </c>
      <c r="B625" s="31">
        <v>56.8</v>
      </c>
      <c r="C625" s="1" t="s">
        <v>20</v>
      </c>
      <c r="D625" s="2">
        <v>42705</v>
      </c>
      <c r="E625" s="2">
        <v>42705</v>
      </c>
      <c r="F625" s="17">
        <v>1920000</v>
      </c>
      <c r="G625" s="17">
        <v>33802.82</v>
      </c>
      <c r="H625" s="31">
        <v>1</v>
      </c>
      <c r="I625" s="1" t="s">
        <v>21</v>
      </c>
      <c r="J625" s="1" t="s">
        <v>22</v>
      </c>
      <c r="K625" s="1" t="s">
        <v>360</v>
      </c>
      <c r="L625" s="1" t="s">
        <v>359</v>
      </c>
      <c r="M625" s="1"/>
      <c r="N625" s="31">
        <v>7</v>
      </c>
      <c r="O625" s="31">
        <v>2</v>
      </c>
      <c r="P625" s="32">
        <v>2015</v>
      </c>
    </row>
    <row r="626" spans="1:16" x14ac:dyDescent="0.25">
      <c r="A626" s="1" t="s">
        <v>362</v>
      </c>
      <c r="B626" s="31">
        <v>42.5</v>
      </c>
      <c r="C626" s="1" t="s">
        <v>20</v>
      </c>
      <c r="D626" s="2">
        <v>42675</v>
      </c>
      <c r="E626" s="2">
        <v>42705</v>
      </c>
      <c r="F626" s="17">
        <v>1440000</v>
      </c>
      <c r="G626" s="17">
        <v>33882.35</v>
      </c>
      <c r="H626" s="31">
        <v>1</v>
      </c>
      <c r="I626" s="1" t="s">
        <v>21</v>
      </c>
      <c r="J626" s="1" t="s">
        <v>22</v>
      </c>
      <c r="K626" s="1" t="s">
        <v>360</v>
      </c>
      <c r="L626" s="1" t="s">
        <v>359</v>
      </c>
      <c r="M626" s="1" t="s">
        <v>299</v>
      </c>
      <c r="N626" s="31">
        <v>9</v>
      </c>
      <c r="O626" s="31">
        <v>1</v>
      </c>
      <c r="P626" s="32">
        <v>2008</v>
      </c>
    </row>
    <row r="627" spans="1:16" x14ac:dyDescent="0.25">
      <c r="A627" s="1" t="s">
        <v>389</v>
      </c>
      <c r="B627" s="31">
        <v>49.8</v>
      </c>
      <c r="C627" s="1" t="s">
        <v>20</v>
      </c>
      <c r="D627" s="2">
        <v>42767</v>
      </c>
      <c r="E627" s="2">
        <v>42767</v>
      </c>
      <c r="F627" s="17">
        <v>1690000</v>
      </c>
      <c r="G627" s="17">
        <v>33935.74</v>
      </c>
      <c r="H627" s="31">
        <v>1</v>
      </c>
      <c r="I627" s="1" t="s">
        <v>21</v>
      </c>
      <c r="J627" s="1" t="s">
        <v>22</v>
      </c>
      <c r="K627" s="1" t="s">
        <v>360</v>
      </c>
      <c r="L627" s="1" t="s">
        <v>359</v>
      </c>
      <c r="M627" s="1" t="s">
        <v>128</v>
      </c>
      <c r="N627" s="31">
        <v>3</v>
      </c>
      <c r="O627" s="31">
        <v>1</v>
      </c>
      <c r="P627" s="32">
        <v>2012</v>
      </c>
    </row>
    <row r="628" spans="1:16" x14ac:dyDescent="0.25">
      <c r="A628" s="1" t="s">
        <v>401</v>
      </c>
      <c r="B628" s="31">
        <v>51</v>
      </c>
      <c r="C628" s="1" t="s">
        <v>20</v>
      </c>
      <c r="D628" s="2">
        <v>42675</v>
      </c>
      <c r="E628" s="2">
        <v>42675</v>
      </c>
      <c r="F628" s="17">
        <v>1734000</v>
      </c>
      <c r="G628" s="17">
        <v>34000</v>
      </c>
      <c r="H628" s="31">
        <v>1</v>
      </c>
      <c r="I628" s="1" t="s">
        <v>21</v>
      </c>
      <c r="J628" s="1" t="s">
        <v>22</v>
      </c>
      <c r="K628" s="1" t="s">
        <v>360</v>
      </c>
      <c r="L628" s="1" t="s">
        <v>359</v>
      </c>
      <c r="M628" s="1"/>
      <c r="N628" s="31">
        <v>6</v>
      </c>
      <c r="O628" s="31">
        <v>1</v>
      </c>
      <c r="P628" s="32">
        <v>2016</v>
      </c>
    </row>
    <row r="629" spans="1:16" x14ac:dyDescent="0.25">
      <c r="A629" s="1" t="s">
        <v>403</v>
      </c>
      <c r="B629" s="31">
        <v>43.5</v>
      </c>
      <c r="C629" s="1" t="s">
        <v>20</v>
      </c>
      <c r="D629" s="2">
        <v>42705</v>
      </c>
      <c r="E629" s="2">
        <v>42705</v>
      </c>
      <c r="F629" s="17">
        <v>1480000</v>
      </c>
      <c r="G629" s="17">
        <v>34022.99</v>
      </c>
      <c r="H629" s="31">
        <v>1</v>
      </c>
      <c r="I629" s="1" t="s">
        <v>21</v>
      </c>
      <c r="J629" s="1" t="s">
        <v>22</v>
      </c>
      <c r="K629" s="1" t="s">
        <v>360</v>
      </c>
      <c r="L629" s="1" t="s">
        <v>359</v>
      </c>
      <c r="M629" s="1" t="s">
        <v>377</v>
      </c>
      <c r="N629" s="31">
        <v>4</v>
      </c>
      <c r="O629" s="31">
        <v>1</v>
      </c>
      <c r="P629" s="32">
        <v>2006</v>
      </c>
    </row>
    <row r="630" spans="1:16" x14ac:dyDescent="0.25">
      <c r="A630" s="1" t="s">
        <v>362</v>
      </c>
      <c r="B630" s="31">
        <v>52.7</v>
      </c>
      <c r="C630" s="1" t="s">
        <v>20</v>
      </c>
      <c r="D630" s="2">
        <v>42614</v>
      </c>
      <c r="E630" s="2">
        <v>42644</v>
      </c>
      <c r="F630" s="17">
        <v>1800000</v>
      </c>
      <c r="G630" s="17">
        <v>34155.599999999999</v>
      </c>
      <c r="H630" s="31">
        <v>1</v>
      </c>
      <c r="I630" s="1" t="s">
        <v>21</v>
      </c>
      <c r="J630" s="1" t="s">
        <v>22</v>
      </c>
      <c r="K630" s="1" t="s">
        <v>360</v>
      </c>
      <c r="L630" s="1" t="s">
        <v>359</v>
      </c>
      <c r="M630" s="1" t="s">
        <v>368</v>
      </c>
      <c r="N630" s="31">
        <v>2</v>
      </c>
      <c r="O630" s="31">
        <v>1</v>
      </c>
      <c r="P630" s="32">
        <v>2008</v>
      </c>
    </row>
    <row r="631" spans="1:16" x14ac:dyDescent="0.25">
      <c r="A631" s="1" t="s">
        <v>364</v>
      </c>
      <c r="B631" s="31">
        <v>32.200000000000003</v>
      </c>
      <c r="C631" s="1" t="s">
        <v>20</v>
      </c>
      <c r="D631" s="2">
        <v>42705</v>
      </c>
      <c r="E631" s="2">
        <v>42705</v>
      </c>
      <c r="F631" s="17">
        <v>1100000</v>
      </c>
      <c r="G631" s="17">
        <v>34161.49</v>
      </c>
      <c r="H631" s="31">
        <v>1</v>
      </c>
      <c r="I631" s="1" t="s">
        <v>21</v>
      </c>
      <c r="J631" s="1" t="s">
        <v>22</v>
      </c>
      <c r="K631" s="1" t="s">
        <v>360</v>
      </c>
      <c r="L631" s="1" t="s">
        <v>359</v>
      </c>
      <c r="M631" s="1" t="s">
        <v>336</v>
      </c>
      <c r="N631" s="31">
        <v>1</v>
      </c>
      <c r="O631" s="31">
        <v>1</v>
      </c>
      <c r="P631" s="32">
        <v>2000</v>
      </c>
    </row>
    <row r="632" spans="1:16" x14ac:dyDescent="0.25">
      <c r="A632" s="1" t="s">
        <v>384</v>
      </c>
      <c r="B632" s="31">
        <v>38.9</v>
      </c>
      <c r="C632" s="1" t="s">
        <v>20</v>
      </c>
      <c r="D632" s="2">
        <v>42767</v>
      </c>
      <c r="E632" s="2">
        <v>42795</v>
      </c>
      <c r="F632" s="17">
        <v>1330000</v>
      </c>
      <c r="G632" s="17">
        <v>34190.230000000003</v>
      </c>
      <c r="H632" s="31">
        <v>1</v>
      </c>
      <c r="I632" s="1" t="s">
        <v>21</v>
      </c>
      <c r="J632" s="1" t="s">
        <v>22</v>
      </c>
      <c r="K632" s="1" t="s">
        <v>360</v>
      </c>
      <c r="L632" s="1" t="s">
        <v>359</v>
      </c>
      <c r="M632" s="1" t="s">
        <v>128</v>
      </c>
      <c r="N632" s="31">
        <v>5</v>
      </c>
      <c r="O632" s="31">
        <v>2</v>
      </c>
      <c r="P632" s="32">
        <v>2000</v>
      </c>
    </row>
    <row r="633" spans="1:16" x14ac:dyDescent="0.25">
      <c r="A633" s="1" t="s">
        <v>384</v>
      </c>
      <c r="B633" s="31">
        <v>38.9</v>
      </c>
      <c r="C633" s="1" t="s">
        <v>20</v>
      </c>
      <c r="D633" s="2">
        <v>42767</v>
      </c>
      <c r="E633" s="2">
        <v>42795</v>
      </c>
      <c r="F633" s="17">
        <v>1330000</v>
      </c>
      <c r="G633" s="17">
        <v>34190.230000000003</v>
      </c>
      <c r="H633" s="31">
        <v>1</v>
      </c>
      <c r="I633" s="1" t="s">
        <v>21</v>
      </c>
      <c r="J633" s="1" t="s">
        <v>22</v>
      </c>
      <c r="K633" s="1" t="s">
        <v>360</v>
      </c>
      <c r="L633" s="1" t="s">
        <v>359</v>
      </c>
      <c r="M633" s="1" t="s">
        <v>128</v>
      </c>
      <c r="N633" s="31">
        <v>5</v>
      </c>
      <c r="O633" s="31">
        <v>2</v>
      </c>
      <c r="P633" s="32">
        <v>2000</v>
      </c>
    </row>
    <row r="634" spans="1:16" x14ac:dyDescent="0.25">
      <c r="A634" s="1" t="s">
        <v>376</v>
      </c>
      <c r="B634" s="31">
        <v>46.7</v>
      </c>
      <c r="C634" s="1" t="s">
        <v>20</v>
      </c>
      <c r="D634" s="2">
        <v>42767</v>
      </c>
      <c r="E634" s="2">
        <v>42767</v>
      </c>
      <c r="F634" s="17">
        <v>1600000</v>
      </c>
      <c r="G634" s="17">
        <v>34261.24</v>
      </c>
      <c r="H634" s="31">
        <v>1</v>
      </c>
      <c r="I634" s="1" t="s">
        <v>21</v>
      </c>
      <c r="J634" s="1" t="s">
        <v>22</v>
      </c>
      <c r="K634" s="1" t="s">
        <v>360</v>
      </c>
      <c r="L634" s="1" t="s">
        <v>359</v>
      </c>
      <c r="M634" s="1"/>
      <c r="N634" s="31">
        <v>2</v>
      </c>
      <c r="O634" s="31">
        <v>2</v>
      </c>
      <c r="P634" s="32">
        <v>2010</v>
      </c>
    </row>
    <row r="635" spans="1:16" x14ac:dyDescent="0.25">
      <c r="A635" s="1" t="s">
        <v>376</v>
      </c>
      <c r="B635" s="31">
        <v>46.7</v>
      </c>
      <c r="C635" s="1" t="s">
        <v>20</v>
      </c>
      <c r="D635" s="2">
        <v>42767</v>
      </c>
      <c r="E635" s="2">
        <v>42767</v>
      </c>
      <c r="F635" s="17">
        <v>1600000</v>
      </c>
      <c r="G635" s="17">
        <v>34261.24</v>
      </c>
      <c r="H635" s="31">
        <v>1</v>
      </c>
      <c r="I635" s="1" t="s">
        <v>21</v>
      </c>
      <c r="J635" s="1" t="s">
        <v>22</v>
      </c>
      <c r="K635" s="1" t="s">
        <v>360</v>
      </c>
      <c r="L635" s="1" t="s">
        <v>359</v>
      </c>
      <c r="M635" s="1"/>
      <c r="N635" s="31">
        <v>2</v>
      </c>
      <c r="O635" s="31">
        <v>2</v>
      </c>
      <c r="P635" s="32">
        <v>2010</v>
      </c>
    </row>
    <row r="636" spans="1:16" x14ac:dyDescent="0.25">
      <c r="A636" s="1" t="s">
        <v>378</v>
      </c>
      <c r="B636" s="31">
        <v>37.9</v>
      </c>
      <c r="C636" s="1" t="s">
        <v>20</v>
      </c>
      <c r="D636" s="2">
        <v>42644</v>
      </c>
      <c r="E636" s="2">
        <v>42644</v>
      </c>
      <c r="F636" s="17">
        <v>1300000</v>
      </c>
      <c r="G636" s="17">
        <v>34300.79</v>
      </c>
      <c r="H636" s="31">
        <v>1</v>
      </c>
      <c r="I636" s="1" t="s">
        <v>21</v>
      </c>
      <c r="J636" s="1" t="s">
        <v>32</v>
      </c>
      <c r="K636" s="1" t="s">
        <v>360</v>
      </c>
      <c r="L636" s="1" t="s">
        <v>359</v>
      </c>
      <c r="M636" s="1" t="s">
        <v>379</v>
      </c>
      <c r="N636" s="31">
        <v>5</v>
      </c>
      <c r="O636" s="31">
        <v>1</v>
      </c>
      <c r="P636" s="32">
        <v>2006</v>
      </c>
    </row>
    <row r="637" spans="1:16" x14ac:dyDescent="0.25">
      <c r="A637" s="1" t="s">
        <v>401</v>
      </c>
      <c r="B637" s="31">
        <v>50.5</v>
      </c>
      <c r="C637" s="1" t="s">
        <v>20</v>
      </c>
      <c r="D637" s="2">
        <v>42705</v>
      </c>
      <c r="E637" s="2">
        <v>42705</v>
      </c>
      <c r="F637" s="17">
        <v>1734000</v>
      </c>
      <c r="G637" s="17">
        <v>34336.629999999997</v>
      </c>
      <c r="H637" s="31">
        <v>1</v>
      </c>
      <c r="I637" s="1" t="s">
        <v>21</v>
      </c>
      <c r="J637" s="1" t="s">
        <v>22</v>
      </c>
      <c r="K637" s="1" t="s">
        <v>360</v>
      </c>
      <c r="L637" s="1" t="s">
        <v>359</v>
      </c>
      <c r="M637" s="1"/>
      <c r="N637" s="31">
        <v>2</v>
      </c>
      <c r="O637" s="31">
        <v>1</v>
      </c>
      <c r="P637" s="32">
        <v>2016</v>
      </c>
    </row>
    <row r="638" spans="1:16" x14ac:dyDescent="0.25">
      <c r="A638" s="1" t="s">
        <v>401</v>
      </c>
      <c r="B638" s="31">
        <v>65.5</v>
      </c>
      <c r="C638" s="1" t="s">
        <v>20</v>
      </c>
      <c r="D638" s="2">
        <v>42675</v>
      </c>
      <c r="E638" s="2">
        <v>42675</v>
      </c>
      <c r="F638" s="17">
        <v>2270500</v>
      </c>
      <c r="G638" s="17">
        <v>34664.120000000003</v>
      </c>
      <c r="H638" s="31">
        <v>1</v>
      </c>
      <c r="I638" s="1" t="s">
        <v>21</v>
      </c>
      <c r="J638" s="1" t="s">
        <v>22</v>
      </c>
      <c r="K638" s="1" t="s">
        <v>360</v>
      </c>
      <c r="L638" s="1" t="s">
        <v>359</v>
      </c>
      <c r="M638" s="1"/>
      <c r="N638" s="31">
        <v>5</v>
      </c>
      <c r="O638" s="31">
        <v>1</v>
      </c>
      <c r="P638" s="32">
        <v>2016</v>
      </c>
    </row>
    <row r="639" spans="1:16" x14ac:dyDescent="0.25">
      <c r="A639" s="1" t="s">
        <v>376</v>
      </c>
      <c r="B639" s="31">
        <v>31.1</v>
      </c>
      <c r="C639" s="1" t="s">
        <v>20</v>
      </c>
      <c r="D639" s="2">
        <v>42795</v>
      </c>
      <c r="E639" s="2">
        <v>42795</v>
      </c>
      <c r="F639" s="17">
        <v>1080000</v>
      </c>
      <c r="G639" s="17">
        <v>34726.69</v>
      </c>
      <c r="H639" s="31">
        <v>1</v>
      </c>
      <c r="I639" s="1" t="s">
        <v>21</v>
      </c>
      <c r="J639" s="1" t="s">
        <v>22</v>
      </c>
      <c r="K639" s="1" t="s">
        <v>360</v>
      </c>
      <c r="L639" s="1" t="s">
        <v>359</v>
      </c>
      <c r="M639" s="1"/>
      <c r="N639" s="31">
        <v>2</v>
      </c>
      <c r="O639" s="31">
        <v>2</v>
      </c>
      <c r="P639" s="32">
        <v>2006</v>
      </c>
    </row>
    <row r="640" spans="1:16" x14ac:dyDescent="0.25">
      <c r="A640" s="1" t="s">
        <v>376</v>
      </c>
      <c r="B640" s="31">
        <v>31.1</v>
      </c>
      <c r="C640" s="1" t="s">
        <v>20</v>
      </c>
      <c r="D640" s="2">
        <v>42795</v>
      </c>
      <c r="E640" s="2">
        <v>42795</v>
      </c>
      <c r="F640" s="17">
        <v>1080000</v>
      </c>
      <c r="G640" s="17">
        <v>34726.69</v>
      </c>
      <c r="H640" s="31">
        <v>1</v>
      </c>
      <c r="I640" s="1" t="s">
        <v>21</v>
      </c>
      <c r="J640" s="1" t="s">
        <v>22</v>
      </c>
      <c r="K640" s="1" t="s">
        <v>360</v>
      </c>
      <c r="L640" s="1" t="s">
        <v>359</v>
      </c>
      <c r="M640" s="1"/>
      <c r="N640" s="31">
        <v>2</v>
      </c>
      <c r="O640" s="31">
        <v>2</v>
      </c>
      <c r="P640" s="32">
        <v>2006</v>
      </c>
    </row>
    <row r="641" spans="1:16" x14ac:dyDescent="0.25">
      <c r="A641" s="1" t="s">
        <v>362</v>
      </c>
      <c r="B641" s="31">
        <v>31</v>
      </c>
      <c r="C641" s="1" t="s">
        <v>20</v>
      </c>
      <c r="D641" s="2">
        <v>42767</v>
      </c>
      <c r="E641" s="2">
        <v>42767</v>
      </c>
      <c r="F641" s="17">
        <v>1080000</v>
      </c>
      <c r="G641" s="17">
        <v>34838.71</v>
      </c>
      <c r="H641" s="31">
        <v>1</v>
      </c>
      <c r="I641" s="1" t="s">
        <v>21</v>
      </c>
      <c r="J641" s="1" t="s">
        <v>22</v>
      </c>
      <c r="K641" s="1" t="s">
        <v>360</v>
      </c>
      <c r="L641" s="1" t="s">
        <v>359</v>
      </c>
      <c r="M641" s="1" t="s">
        <v>128</v>
      </c>
      <c r="N641" s="31">
        <v>9</v>
      </c>
      <c r="O641" s="31">
        <v>2</v>
      </c>
      <c r="P641" s="32">
        <v>2017</v>
      </c>
    </row>
    <row r="642" spans="1:16" x14ac:dyDescent="0.25">
      <c r="A642" s="1" t="s">
        <v>362</v>
      </c>
      <c r="B642" s="31">
        <v>31</v>
      </c>
      <c r="C642" s="1" t="s">
        <v>20</v>
      </c>
      <c r="D642" s="2">
        <v>42767</v>
      </c>
      <c r="E642" s="2">
        <v>42767</v>
      </c>
      <c r="F642" s="17">
        <v>1080000</v>
      </c>
      <c r="G642" s="17">
        <v>34838.71</v>
      </c>
      <c r="H642" s="31">
        <v>1</v>
      </c>
      <c r="I642" s="1" t="s">
        <v>21</v>
      </c>
      <c r="J642" s="1" t="s">
        <v>22</v>
      </c>
      <c r="K642" s="1" t="s">
        <v>360</v>
      </c>
      <c r="L642" s="1" t="s">
        <v>359</v>
      </c>
      <c r="M642" s="1" t="s">
        <v>128</v>
      </c>
      <c r="N642" s="31">
        <v>9</v>
      </c>
      <c r="O642" s="31">
        <v>2</v>
      </c>
      <c r="P642" s="32">
        <v>2017</v>
      </c>
    </row>
    <row r="643" spans="1:16" x14ac:dyDescent="0.25">
      <c r="A643" s="1" t="s">
        <v>378</v>
      </c>
      <c r="B643" s="31">
        <v>31.8</v>
      </c>
      <c r="C643" s="1" t="s">
        <v>20</v>
      </c>
      <c r="D643" s="2">
        <v>42795</v>
      </c>
      <c r="E643" s="2">
        <v>42795</v>
      </c>
      <c r="F643" s="17">
        <v>1110000</v>
      </c>
      <c r="G643" s="17">
        <v>34905.660000000003</v>
      </c>
      <c r="H643" s="31">
        <v>1</v>
      </c>
      <c r="I643" s="1" t="s">
        <v>21</v>
      </c>
      <c r="J643" s="1" t="s">
        <v>22</v>
      </c>
      <c r="K643" s="1" t="s">
        <v>360</v>
      </c>
      <c r="L643" s="1" t="s">
        <v>359</v>
      </c>
      <c r="M643" s="1" t="s">
        <v>61</v>
      </c>
      <c r="N643" s="31">
        <v>2</v>
      </c>
      <c r="O643" s="31">
        <v>1</v>
      </c>
      <c r="P643" s="32">
        <v>2013</v>
      </c>
    </row>
    <row r="644" spans="1:16" x14ac:dyDescent="0.25">
      <c r="A644" s="1" t="s">
        <v>362</v>
      </c>
      <c r="B644" s="31">
        <v>32.799999999999997</v>
      </c>
      <c r="C644" s="1" t="s">
        <v>20</v>
      </c>
      <c r="D644" s="2">
        <v>42795</v>
      </c>
      <c r="E644" s="2">
        <v>42795</v>
      </c>
      <c r="F644" s="17">
        <v>1147500</v>
      </c>
      <c r="G644" s="17">
        <v>34984.76</v>
      </c>
      <c r="H644" s="31">
        <v>1</v>
      </c>
      <c r="I644" s="1" t="s">
        <v>21</v>
      </c>
      <c r="J644" s="1" t="s">
        <v>22</v>
      </c>
      <c r="K644" s="1" t="s">
        <v>360</v>
      </c>
      <c r="L644" s="1" t="s">
        <v>359</v>
      </c>
      <c r="M644" s="1" t="s">
        <v>368</v>
      </c>
      <c r="N644" s="31">
        <v>2</v>
      </c>
      <c r="O644" s="31">
        <v>1</v>
      </c>
      <c r="P644" s="32">
        <v>2008</v>
      </c>
    </row>
    <row r="645" spans="1:16" x14ac:dyDescent="0.25">
      <c r="A645" s="1" t="s">
        <v>401</v>
      </c>
      <c r="B645" s="31">
        <v>51</v>
      </c>
      <c r="C645" s="1" t="s">
        <v>20</v>
      </c>
      <c r="D645" s="2">
        <v>42767</v>
      </c>
      <c r="E645" s="2">
        <v>42767</v>
      </c>
      <c r="F645" s="17">
        <v>1785000</v>
      </c>
      <c r="G645" s="17">
        <v>35000</v>
      </c>
      <c r="H645" s="31">
        <v>1</v>
      </c>
      <c r="I645" s="1" t="s">
        <v>21</v>
      </c>
      <c r="J645" s="1" t="s">
        <v>22</v>
      </c>
      <c r="K645" s="1" t="s">
        <v>360</v>
      </c>
      <c r="L645" s="1" t="s">
        <v>359</v>
      </c>
      <c r="M645" s="1"/>
      <c r="N645" s="31">
        <v>6</v>
      </c>
      <c r="O645" s="31">
        <v>1</v>
      </c>
      <c r="P645" s="32">
        <v>2017</v>
      </c>
    </row>
    <row r="646" spans="1:16" x14ac:dyDescent="0.25">
      <c r="A646" s="1" t="s">
        <v>362</v>
      </c>
      <c r="B646" s="31">
        <v>30</v>
      </c>
      <c r="C646" s="1" t="s">
        <v>20</v>
      </c>
      <c r="D646" s="2">
        <v>42705</v>
      </c>
      <c r="E646" s="2">
        <v>42705</v>
      </c>
      <c r="F646" s="17">
        <v>1050400</v>
      </c>
      <c r="G646" s="17">
        <v>35013.33</v>
      </c>
      <c r="H646" s="31">
        <v>1</v>
      </c>
      <c r="I646" s="1" t="s">
        <v>21</v>
      </c>
      <c r="J646" s="1" t="s">
        <v>22</v>
      </c>
      <c r="K646" s="1" t="s">
        <v>360</v>
      </c>
      <c r="L646" s="1" t="s">
        <v>359</v>
      </c>
      <c r="M646" s="1" t="s">
        <v>299</v>
      </c>
      <c r="N646" s="31">
        <v>4</v>
      </c>
      <c r="O646" s="31">
        <v>2</v>
      </c>
      <c r="P646" s="32">
        <v>2001</v>
      </c>
    </row>
    <row r="647" spans="1:16" x14ac:dyDescent="0.25">
      <c r="A647" s="1" t="s">
        <v>362</v>
      </c>
      <c r="B647" s="31">
        <v>30</v>
      </c>
      <c r="C647" s="1" t="s">
        <v>20</v>
      </c>
      <c r="D647" s="2">
        <v>42705</v>
      </c>
      <c r="E647" s="2">
        <v>42705</v>
      </c>
      <c r="F647" s="17">
        <v>1050400</v>
      </c>
      <c r="G647" s="17">
        <v>35013.33</v>
      </c>
      <c r="H647" s="31">
        <v>1</v>
      </c>
      <c r="I647" s="1" t="s">
        <v>21</v>
      </c>
      <c r="J647" s="1" t="s">
        <v>22</v>
      </c>
      <c r="K647" s="1" t="s">
        <v>360</v>
      </c>
      <c r="L647" s="1" t="s">
        <v>359</v>
      </c>
      <c r="M647" s="1" t="s">
        <v>299</v>
      </c>
      <c r="N647" s="31">
        <v>4</v>
      </c>
      <c r="O647" s="31">
        <v>2</v>
      </c>
      <c r="P647" s="32">
        <v>2001</v>
      </c>
    </row>
    <row r="648" spans="1:16" x14ac:dyDescent="0.25">
      <c r="A648" s="1" t="s">
        <v>384</v>
      </c>
      <c r="B648" s="31">
        <v>28.5</v>
      </c>
      <c r="C648" s="1" t="s">
        <v>20</v>
      </c>
      <c r="D648" s="2">
        <v>42675</v>
      </c>
      <c r="E648" s="2">
        <v>42675</v>
      </c>
      <c r="F648" s="17">
        <v>1000000</v>
      </c>
      <c r="G648" s="17">
        <v>35087.72</v>
      </c>
      <c r="H648" s="31">
        <v>1</v>
      </c>
      <c r="I648" s="1" t="s">
        <v>21</v>
      </c>
      <c r="J648" s="1" t="s">
        <v>22</v>
      </c>
      <c r="K648" s="1" t="s">
        <v>360</v>
      </c>
      <c r="L648" s="1" t="s">
        <v>359</v>
      </c>
      <c r="M648" s="1"/>
      <c r="N648" s="31">
        <v>3</v>
      </c>
      <c r="O648" s="31">
        <v>1</v>
      </c>
      <c r="P648" s="32">
        <v>2006</v>
      </c>
    </row>
    <row r="649" spans="1:16" x14ac:dyDescent="0.25">
      <c r="A649" s="1" t="s">
        <v>373</v>
      </c>
      <c r="B649" s="31">
        <v>34.4</v>
      </c>
      <c r="C649" s="1" t="s">
        <v>20</v>
      </c>
      <c r="D649" s="2">
        <v>42644</v>
      </c>
      <c r="E649" s="2">
        <v>42644</v>
      </c>
      <c r="F649" s="17">
        <v>1212000</v>
      </c>
      <c r="G649" s="17">
        <v>35232.559999999998</v>
      </c>
      <c r="H649" s="31">
        <v>1</v>
      </c>
      <c r="I649" s="1" t="s">
        <v>21</v>
      </c>
      <c r="J649" s="1" t="s">
        <v>22</v>
      </c>
      <c r="K649" s="1" t="s">
        <v>360</v>
      </c>
      <c r="L649" s="1" t="s">
        <v>359</v>
      </c>
      <c r="M649" s="1" t="s">
        <v>377</v>
      </c>
      <c r="N649" s="31">
        <v>4</v>
      </c>
      <c r="O649" s="31">
        <v>1</v>
      </c>
      <c r="P649" s="32">
        <v>2016</v>
      </c>
    </row>
    <row r="650" spans="1:16" x14ac:dyDescent="0.25">
      <c r="A650" s="1" t="s">
        <v>364</v>
      </c>
      <c r="B650" s="31">
        <v>33.700000000000003</v>
      </c>
      <c r="C650" s="1" t="s">
        <v>20</v>
      </c>
      <c r="D650" s="2">
        <v>42705</v>
      </c>
      <c r="E650" s="2">
        <v>42705</v>
      </c>
      <c r="F650" s="17">
        <v>1200000</v>
      </c>
      <c r="G650" s="17">
        <v>35608.31</v>
      </c>
      <c r="H650" s="31">
        <v>1</v>
      </c>
      <c r="I650" s="1" t="s">
        <v>21</v>
      </c>
      <c r="J650" s="1" t="s">
        <v>22</v>
      </c>
      <c r="K650" s="1" t="s">
        <v>360</v>
      </c>
      <c r="L650" s="1" t="s">
        <v>359</v>
      </c>
      <c r="M650" s="1" t="s">
        <v>370</v>
      </c>
      <c r="N650" s="31">
        <v>1</v>
      </c>
      <c r="O650" s="31">
        <v>1</v>
      </c>
      <c r="P650" s="32">
        <v>2013</v>
      </c>
    </row>
    <row r="651" spans="1:16" x14ac:dyDescent="0.25">
      <c r="A651" s="1" t="s">
        <v>376</v>
      </c>
      <c r="B651" s="31">
        <v>44.8</v>
      </c>
      <c r="C651" s="1" t="s">
        <v>20</v>
      </c>
      <c r="D651" s="2">
        <v>42644</v>
      </c>
      <c r="E651" s="2">
        <v>42644</v>
      </c>
      <c r="F651" s="17">
        <v>1600000</v>
      </c>
      <c r="G651" s="17">
        <v>35714.29</v>
      </c>
      <c r="H651" s="31">
        <v>1</v>
      </c>
      <c r="I651" s="1" t="s">
        <v>21</v>
      </c>
      <c r="J651" s="1" t="s">
        <v>22</v>
      </c>
      <c r="K651" s="1" t="s">
        <v>360</v>
      </c>
      <c r="L651" s="1" t="s">
        <v>359</v>
      </c>
      <c r="M651" s="1"/>
      <c r="N651" s="31">
        <v>3</v>
      </c>
      <c r="O651" s="31">
        <v>1</v>
      </c>
      <c r="P651" s="32">
        <v>2003</v>
      </c>
    </row>
    <row r="652" spans="1:16" x14ac:dyDescent="0.25">
      <c r="A652" s="1" t="s">
        <v>401</v>
      </c>
      <c r="B652" s="31">
        <v>50.5</v>
      </c>
      <c r="C652" s="1" t="s">
        <v>20</v>
      </c>
      <c r="D652" s="2">
        <v>42736</v>
      </c>
      <c r="E652" s="2">
        <v>42736</v>
      </c>
      <c r="F652" s="17">
        <v>1805000</v>
      </c>
      <c r="G652" s="17">
        <v>35742.57</v>
      </c>
      <c r="H652" s="31">
        <v>1</v>
      </c>
      <c r="I652" s="1" t="s">
        <v>21</v>
      </c>
      <c r="J652" s="1" t="s">
        <v>22</v>
      </c>
      <c r="K652" s="1" t="s">
        <v>360</v>
      </c>
      <c r="L652" s="1" t="s">
        <v>359</v>
      </c>
      <c r="M652" s="1"/>
      <c r="N652" s="31">
        <v>6</v>
      </c>
      <c r="O652" s="31">
        <v>1</v>
      </c>
      <c r="P652" s="32">
        <v>2017</v>
      </c>
    </row>
    <row r="653" spans="1:16" x14ac:dyDescent="0.25">
      <c r="A653" s="1" t="s">
        <v>367</v>
      </c>
      <c r="B653" s="31">
        <v>48.9</v>
      </c>
      <c r="C653" s="1" t="s">
        <v>20</v>
      </c>
      <c r="D653" s="2">
        <v>42795</v>
      </c>
      <c r="E653" s="2">
        <v>42795</v>
      </c>
      <c r="F653" s="17">
        <v>1750000</v>
      </c>
      <c r="G653" s="17">
        <v>35787.32</v>
      </c>
      <c r="H653" s="31">
        <v>1</v>
      </c>
      <c r="I653" s="1" t="s">
        <v>21</v>
      </c>
      <c r="J653" s="1" t="s">
        <v>22</v>
      </c>
      <c r="K653" s="1" t="s">
        <v>360</v>
      </c>
      <c r="L653" s="1" t="s">
        <v>359</v>
      </c>
      <c r="M653" s="1" t="s">
        <v>363</v>
      </c>
      <c r="N653" s="31">
        <v>3</v>
      </c>
      <c r="O653" s="31">
        <v>1</v>
      </c>
      <c r="P653" s="32">
        <v>2003</v>
      </c>
    </row>
    <row r="654" spans="1:16" x14ac:dyDescent="0.25">
      <c r="A654" s="1" t="s">
        <v>362</v>
      </c>
      <c r="B654" s="31">
        <v>50.2</v>
      </c>
      <c r="C654" s="1" t="s">
        <v>20</v>
      </c>
      <c r="D654" s="2">
        <v>42644</v>
      </c>
      <c r="E654" s="2">
        <v>42644</v>
      </c>
      <c r="F654" s="17">
        <v>1800000</v>
      </c>
      <c r="G654" s="17">
        <v>35856.57</v>
      </c>
      <c r="H654" s="31">
        <v>1</v>
      </c>
      <c r="I654" s="1" t="s">
        <v>21</v>
      </c>
      <c r="J654" s="1" t="s">
        <v>22</v>
      </c>
      <c r="K654" s="1" t="s">
        <v>360</v>
      </c>
      <c r="L654" s="1" t="s">
        <v>359</v>
      </c>
      <c r="M654" s="1" t="s">
        <v>363</v>
      </c>
      <c r="N654" s="31">
        <v>5</v>
      </c>
      <c r="O654" s="31">
        <v>1</v>
      </c>
      <c r="P654" s="32">
        <v>2003</v>
      </c>
    </row>
    <row r="655" spans="1:16" x14ac:dyDescent="0.25">
      <c r="A655" s="1" t="s">
        <v>401</v>
      </c>
      <c r="B655" s="31">
        <v>65.5</v>
      </c>
      <c r="C655" s="1" t="s">
        <v>20</v>
      </c>
      <c r="D655" s="2">
        <v>42736</v>
      </c>
      <c r="E655" s="2">
        <v>42767</v>
      </c>
      <c r="F655" s="17">
        <v>2352000</v>
      </c>
      <c r="G655" s="17">
        <v>35908.400000000001</v>
      </c>
      <c r="H655" s="31">
        <v>1</v>
      </c>
      <c r="I655" s="1" t="s">
        <v>21</v>
      </c>
      <c r="J655" s="1" t="s">
        <v>22</v>
      </c>
      <c r="K655" s="1" t="s">
        <v>360</v>
      </c>
      <c r="L655" s="1" t="s">
        <v>359</v>
      </c>
      <c r="M655" s="1"/>
      <c r="N655" s="31">
        <v>6</v>
      </c>
      <c r="O655" s="31">
        <v>1</v>
      </c>
      <c r="P655" s="32">
        <v>2017</v>
      </c>
    </row>
    <row r="656" spans="1:16" x14ac:dyDescent="0.25">
      <c r="A656" s="1" t="s">
        <v>384</v>
      </c>
      <c r="B656" s="31">
        <v>51.4</v>
      </c>
      <c r="C656" s="1" t="s">
        <v>20</v>
      </c>
      <c r="D656" s="2">
        <v>42705</v>
      </c>
      <c r="E656" s="2">
        <v>42705</v>
      </c>
      <c r="F656" s="17">
        <v>1850000</v>
      </c>
      <c r="G656" s="17">
        <v>35992.22</v>
      </c>
      <c r="H656" s="31">
        <v>1</v>
      </c>
      <c r="I656" s="1" t="s">
        <v>21</v>
      </c>
      <c r="J656" s="1" t="s">
        <v>22</v>
      </c>
      <c r="K656" s="1" t="s">
        <v>360</v>
      </c>
      <c r="L656" s="1" t="s">
        <v>359</v>
      </c>
      <c r="M656" s="1" t="s">
        <v>363</v>
      </c>
      <c r="N656" s="31">
        <v>5</v>
      </c>
      <c r="O656" s="31">
        <v>2</v>
      </c>
      <c r="P656" s="32">
        <v>2013</v>
      </c>
    </row>
    <row r="657" spans="1:16" x14ac:dyDescent="0.25">
      <c r="A657" s="1" t="s">
        <v>384</v>
      </c>
      <c r="B657" s="31">
        <v>51.4</v>
      </c>
      <c r="C657" s="1" t="s">
        <v>20</v>
      </c>
      <c r="D657" s="2">
        <v>42705</v>
      </c>
      <c r="E657" s="2">
        <v>42705</v>
      </c>
      <c r="F657" s="17">
        <v>1850000</v>
      </c>
      <c r="G657" s="17">
        <v>35992.22</v>
      </c>
      <c r="H657" s="31">
        <v>1</v>
      </c>
      <c r="I657" s="1" t="s">
        <v>21</v>
      </c>
      <c r="J657" s="1" t="s">
        <v>22</v>
      </c>
      <c r="K657" s="1" t="s">
        <v>360</v>
      </c>
      <c r="L657" s="1" t="s">
        <v>359</v>
      </c>
      <c r="M657" s="1" t="s">
        <v>363</v>
      </c>
      <c r="N657" s="31">
        <v>5</v>
      </c>
      <c r="O657" s="31">
        <v>2</v>
      </c>
      <c r="P657" s="32">
        <v>2013</v>
      </c>
    </row>
    <row r="658" spans="1:16" x14ac:dyDescent="0.25">
      <c r="A658" s="1" t="s">
        <v>402</v>
      </c>
      <c r="B658" s="31">
        <v>76.400000000000006</v>
      </c>
      <c r="C658" s="1" t="s">
        <v>20</v>
      </c>
      <c r="D658" s="2">
        <v>42736</v>
      </c>
      <c r="E658" s="2">
        <v>42736</v>
      </c>
      <c r="F658" s="17">
        <v>2750000</v>
      </c>
      <c r="G658" s="17">
        <v>35994.76</v>
      </c>
      <c r="H658" s="31">
        <v>1</v>
      </c>
      <c r="I658" s="1" t="s">
        <v>21</v>
      </c>
      <c r="J658" s="1" t="s">
        <v>18</v>
      </c>
      <c r="K658" s="1" t="s">
        <v>360</v>
      </c>
      <c r="L658" s="1" t="s">
        <v>359</v>
      </c>
      <c r="M658" s="1" t="s">
        <v>299</v>
      </c>
      <c r="N658" s="31">
        <v>4</v>
      </c>
      <c r="O658" s="31">
        <v>1</v>
      </c>
      <c r="P658" s="32">
        <v>2015</v>
      </c>
    </row>
    <row r="659" spans="1:16" x14ac:dyDescent="0.25">
      <c r="A659" s="1" t="s">
        <v>362</v>
      </c>
      <c r="B659" s="31">
        <v>47.1</v>
      </c>
      <c r="C659" s="1" t="s">
        <v>20</v>
      </c>
      <c r="D659" s="2">
        <v>42767</v>
      </c>
      <c r="E659" s="2">
        <v>42767</v>
      </c>
      <c r="F659" s="17">
        <v>1700000</v>
      </c>
      <c r="G659" s="17">
        <v>36093.42</v>
      </c>
      <c r="H659" s="31">
        <v>1</v>
      </c>
      <c r="I659" s="1" t="s">
        <v>21</v>
      </c>
      <c r="J659" s="1" t="s">
        <v>22</v>
      </c>
      <c r="K659" s="1" t="s">
        <v>360</v>
      </c>
      <c r="L659" s="1" t="s">
        <v>359</v>
      </c>
      <c r="M659" s="1" t="s">
        <v>368</v>
      </c>
      <c r="N659" s="31">
        <v>1</v>
      </c>
      <c r="O659" s="31">
        <v>1</v>
      </c>
      <c r="P659" s="32">
        <v>2012</v>
      </c>
    </row>
    <row r="660" spans="1:16" x14ac:dyDescent="0.25">
      <c r="A660" s="1" t="s">
        <v>378</v>
      </c>
      <c r="B660" s="31">
        <v>47</v>
      </c>
      <c r="C660" s="1" t="s">
        <v>20</v>
      </c>
      <c r="D660" s="2">
        <v>42767</v>
      </c>
      <c r="E660" s="2">
        <v>42767</v>
      </c>
      <c r="F660" s="17">
        <v>1700000</v>
      </c>
      <c r="G660" s="17">
        <v>36170.21</v>
      </c>
      <c r="H660" s="31">
        <v>1</v>
      </c>
      <c r="I660" s="1" t="s">
        <v>21</v>
      </c>
      <c r="J660" s="1" t="s">
        <v>22</v>
      </c>
      <c r="K660" s="1" t="s">
        <v>360</v>
      </c>
      <c r="L660" s="1" t="s">
        <v>359</v>
      </c>
      <c r="M660" s="1" t="s">
        <v>299</v>
      </c>
      <c r="N660" s="31">
        <v>1</v>
      </c>
      <c r="O660" s="31">
        <v>1</v>
      </c>
      <c r="P660" s="32">
        <v>2015</v>
      </c>
    </row>
    <row r="661" spans="1:16" x14ac:dyDescent="0.25">
      <c r="A661" s="1" t="s">
        <v>371</v>
      </c>
      <c r="B661" s="31">
        <v>45</v>
      </c>
      <c r="C661" s="1" t="s">
        <v>20</v>
      </c>
      <c r="D661" s="2">
        <v>42705</v>
      </c>
      <c r="E661" s="2">
        <v>42705</v>
      </c>
      <c r="F661" s="17">
        <v>1640000</v>
      </c>
      <c r="G661" s="17">
        <v>36444.44</v>
      </c>
      <c r="H661" s="31">
        <v>1</v>
      </c>
      <c r="I661" s="1" t="s">
        <v>21</v>
      </c>
      <c r="J661" s="1" t="s">
        <v>22</v>
      </c>
      <c r="K661" s="1" t="s">
        <v>360</v>
      </c>
      <c r="L661" s="1" t="s">
        <v>359</v>
      </c>
      <c r="M661" s="1" t="s">
        <v>372</v>
      </c>
      <c r="N661" s="31">
        <v>4</v>
      </c>
      <c r="O661" s="31">
        <v>1</v>
      </c>
      <c r="P661" s="32">
        <v>2012</v>
      </c>
    </row>
    <row r="662" spans="1:16" x14ac:dyDescent="0.25">
      <c r="A662" s="1" t="s">
        <v>384</v>
      </c>
      <c r="B662" s="31">
        <v>30.4</v>
      </c>
      <c r="C662" s="1" t="s">
        <v>20</v>
      </c>
      <c r="D662" s="2">
        <v>42705</v>
      </c>
      <c r="E662" s="2">
        <v>42705</v>
      </c>
      <c r="F662" s="17">
        <v>1112000</v>
      </c>
      <c r="G662" s="17">
        <v>36578.949999999997</v>
      </c>
      <c r="H662" s="31">
        <v>1</v>
      </c>
      <c r="I662" s="1" t="s">
        <v>21</v>
      </c>
      <c r="J662" s="1" t="s">
        <v>22</v>
      </c>
      <c r="K662" s="1" t="s">
        <v>360</v>
      </c>
      <c r="L662" s="1" t="s">
        <v>359</v>
      </c>
      <c r="M662" s="1" t="s">
        <v>128</v>
      </c>
      <c r="N662" s="31">
        <v>1</v>
      </c>
      <c r="O662" s="31">
        <v>1</v>
      </c>
      <c r="P662" s="32">
        <v>2004</v>
      </c>
    </row>
    <row r="663" spans="1:16" x14ac:dyDescent="0.25">
      <c r="A663" s="1" t="s">
        <v>362</v>
      </c>
      <c r="B663" s="31">
        <v>44.3</v>
      </c>
      <c r="C663" s="1" t="s">
        <v>20</v>
      </c>
      <c r="D663" s="2">
        <v>42705</v>
      </c>
      <c r="E663" s="2">
        <v>42705</v>
      </c>
      <c r="F663" s="17">
        <v>1624000</v>
      </c>
      <c r="G663" s="17">
        <v>36659.14</v>
      </c>
      <c r="H663" s="31">
        <v>1</v>
      </c>
      <c r="I663" s="1" t="s">
        <v>21</v>
      </c>
      <c r="J663" s="1" t="s">
        <v>22</v>
      </c>
      <c r="K663" s="1" t="s">
        <v>360</v>
      </c>
      <c r="L663" s="1" t="s">
        <v>359</v>
      </c>
      <c r="M663" s="1"/>
      <c r="N663" s="31">
        <v>1</v>
      </c>
      <c r="O663" s="31">
        <v>2</v>
      </c>
      <c r="P663" s="32">
        <v>2009</v>
      </c>
    </row>
    <row r="664" spans="1:16" x14ac:dyDescent="0.25">
      <c r="A664" s="1" t="s">
        <v>362</v>
      </c>
      <c r="B664" s="31">
        <v>44.3</v>
      </c>
      <c r="C664" s="1" t="s">
        <v>20</v>
      </c>
      <c r="D664" s="2">
        <v>42705</v>
      </c>
      <c r="E664" s="2">
        <v>42705</v>
      </c>
      <c r="F664" s="17">
        <v>1624000</v>
      </c>
      <c r="G664" s="17">
        <v>36659.14</v>
      </c>
      <c r="H664" s="31">
        <v>1</v>
      </c>
      <c r="I664" s="1" t="s">
        <v>21</v>
      </c>
      <c r="J664" s="1" t="s">
        <v>22</v>
      </c>
      <c r="K664" s="1" t="s">
        <v>360</v>
      </c>
      <c r="L664" s="1" t="s">
        <v>359</v>
      </c>
      <c r="M664" s="1"/>
      <c r="N664" s="31">
        <v>1</v>
      </c>
      <c r="O664" s="31">
        <v>2</v>
      </c>
      <c r="P664" s="32">
        <v>2009</v>
      </c>
    </row>
    <row r="665" spans="1:16" x14ac:dyDescent="0.25">
      <c r="A665" s="1" t="s">
        <v>369</v>
      </c>
      <c r="B665" s="31">
        <v>60</v>
      </c>
      <c r="C665" s="1" t="s">
        <v>20</v>
      </c>
      <c r="D665" s="2">
        <v>42736</v>
      </c>
      <c r="E665" s="2">
        <v>42736</v>
      </c>
      <c r="F665" s="17">
        <v>2200000</v>
      </c>
      <c r="G665" s="17">
        <v>36666.67</v>
      </c>
      <c r="H665" s="31">
        <v>1</v>
      </c>
      <c r="I665" s="1" t="s">
        <v>21</v>
      </c>
      <c r="J665" s="1" t="s">
        <v>22</v>
      </c>
      <c r="K665" s="1" t="s">
        <v>360</v>
      </c>
      <c r="L665" s="1" t="s">
        <v>359</v>
      </c>
      <c r="M665" s="1" t="s">
        <v>370</v>
      </c>
      <c r="N665" s="31">
        <v>7</v>
      </c>
      <c r="O665" s="31">
        <v>2</v>
      </c>
      <c r="P665" s="32">
        <v>2014</v>
      </c>
    </row>
    <row r="666" spans="1:16" x14ac:dyDescent="0.25">
      <c r="A666" s="1" t="s">
        <v>369</v>
      </c>
      <c r="B666" s="31">
        <v>60</v>
      </c>
      <c r="C666" s="1" t="s">
        <v>20</v>
      </c>
      <c r="D666" s="2">
        <v>42736</v>
      </c>
      <c r="E666" s="2">
        <v>42736</v>
      </c>
      <c r="F666" s="17">
        <v>2200000</v>
      </c>
      <c r="G666" s="17">
        <v>36666.67</v>
      </c>
      <c r="H666" s="31">
        <v>1</v>
      </c>
      <c r="I666" s="1" t="s">
        <v>21</v>
      </c>
      <c r="J666" s="1" t="s">
        <v>22</v>
      </c>
      <c r="K666" s="1" t="s">
        <v>360</v>
      </c>
      <c r="L666" s="1" t="s">
        <v>359</v>
      </c>
      <c r="M666" s="1" t="s">
        <v>370</v>
      </c>
      <c r="N666" s="31">
        <v>7</v>
      </c>
      <c r="O666" s="31">
        <v>2</v>
      </c>
      <c r="P666" s="32">
        <v>2014</v>
      </c>
    </row>
    <row r="667" spans="1:16" x14ac:dyDescent="0.25">
      <c r="A667" s="1" t="s">
        <v>384</v>
      </c>
      <c r="B667" s="31">
        <v>44.7</v>
      </c>
      <c r="C667" s="1" t="s">
        <v>20</v>
      </c>
      <c r="D667" s="2">
        <v>42675</v>
      </c>
      <c r="E667" s="2">
        <v>42675</v>
      </c>
      <c r="F667" s="17">
        <v>1640000</v>
      </c>
      <c r="G667" s="17">
        <v>36689.040000000001</v>
      </c>
      <c r="H667" s="31">
        <v>1</v>
      </c>
      <c r="I667" s="1" t="s">
        <v>21</v>
      </c>
      <c r="J667" s="1" t="s">
        <v>22</v>
      </c>
      <c r="K667" s="1" t="s">
        <v>360</v>
      </c>
      <c r="L667" s="1" t="s">
        <v>359</v>
      </c>
      <c r="M667" s="1" t="s">
        <v>128</v>
      </c>
      <c r="N667" s="31">
        <v>2</v>
      </c>
      <c r="O667" s="31">
        <v>1</v>
      </c>
      <c r="P667" s="32">
        <v>2005</v>
      </c>
    </row>
    <row r="668" spans="1:16" x14ac:dyDescent="0.25">
      <c r="A668" s="1" t="s">
        <v>376</v>
      </c>
      <c r="B668" s="31">
        <v>46.2</v>
      </c>
      <c r="C668" s="1" t="s">
        <v>20</v>
      </c>
      <c r="D668" s="2">
        <v>42767</v>
      </c>
      <c r="E668" s="2">
        <v>42767</v>
      </c>
      <c r="F668" s="17">
        <v>1700000</v>
      </c>
      <c r="G668" s="17">
        <v>36796.54</v>
      </c>
      <c r="H668" s="31">
        <v>1</v>
      </c>
      <c r="I668" s="1" t="s">
        <v>21</v>
      </c>
      <c r="J668" s="1" t="s">
        <v>22</v>
      </c>
      <c r="K668" s="1" t="s">
        <v>360</v>
      </c>
      <c r="L668" s="1" t="s">
        <v>359</v>
      </c>
      <c r="M668" s="1"/>
      <c r="N668" s="31">
        <v>5</v>
      </c>
      <c r="O668" s="31">
        <v>2</v>
      </c>
      <c r="P668" s="32">
        <v>2012</v>
      </c>
    </row>
    <row r="669" spans="1:16" x14ac:dyDescent="0.25">
      <c r="A669" s="1" t="s">
        <v>376</v>
      </c>
      <c r="B669" s="31">
        <v>46.2</v>
      </c>
      <c r="C669" s="1" t="s">
        <v>20</v>
      </c>
      <c r="D669" s="2">
        <v>42767</v>
      </c>
      <c r="E669" s="2">
        <v>42767</v>
      </c>
      <c r="F669" s="17">
        <v>1700000</v>
      </c>
      <c r="G669" s="17">
        <v>36796.54</v>
      </c>
      <c r="H669" s="31">
        <v>1</v>
      </c>
      <c r="I669" s="1" t="s">
        <v>21</v>
      </c>
      <c r="J669" s="1" t="s">
        <v>22</v>
      </c>
      <c r="K669" s="1" t="s">
        <v>360</v>
      </c>
      <c r="L669" s="1" t="s">
        <v>359</v>
      </c>
      <c r="M669" s="1"/>
      <c r="N669" s="31">
        <v>5</v>
      </c>
      <c r="O669" s="31">
        <v>2</v>
      </c>
      <c r="P669" s="32">
        <v>2012</v>
      </c>
    </row>
    <row r="670" spans="1:16" x14ac:dyDescent="0.25">
      <c r="A670" s="1" t="s">
        <v>373</v>
      </c>
      <c r="B670" s="31">
        <v>45.3</v>
      </c>
      <c r="C670" s="1" t="s">
        <v>20</v>
      </c>
      <c r="D670" s="2">
        <v>42675</v>
      </c>
      <c r="E670" s="2">
        <v>42675</v>
      </c>
      <c r="F670" s="17">
        <v>1672000</v>
      </c>
      <c r="G670" s="17">
        <v>36909.49</v>
      </c>
      <c r="H670" s="31">
        <v>1</v>
      </c>
      <c r="I670" s="1" t="s">
        <v>21</v>
      </c>
      <c r="J670" s="1" t="s">
        <v>22</v>
      </c>
      <c r="K670" s="1" t="s">
        <v>360</v>
      </c>
      <c r="L670" s="1" t="s">
        <v>359</v>
      </c>
      <c r="M670" s="1" t="s">
        <v>377</v>
      </c>
      <c r="N670" s="31">
        <v>1</v>
      </c>
      <c r="O670" s="31">
        <v>1</v>
      </c>
      <c r="P670" s="32">
        <v>2012</v>
      </c>
    </row>
    <row r="671" spans="1:16" x14ac:dyDescent="0.25">
      <c r="A671" s="1" t="s">
        <v>364</v>
      </c>
      <c r="B671" s="31">
        <v>48.3</v>
      </c>
      <c r="C671" s="1" t="s">
        <v>20</v>
      </c>
      <c r="D671" s="2">
        <v>42644</v>
      </c>
      <c r="E671" s="2">
        <v>42644</v>
      </c>
      <c r="F671" s="17">
        <v>1785000</v>
      </c>
      <c r="G671" s="17">
        <v>36956.519999999997</v>
      </c>
      <c r="H671" s="31">
        <v>1</v>
      </c>
      <c r="I671" s="1" t="s">
        <v>21</v>
      </c>
      <c r="J671" s="1" t="s">
        <v>22</v>
      </c>
      <c r="K671" s="1" t="s">
        <v>360</v>
      </c>
      <c r="L671" s="1" t="s">
        <v>359</v>
      </c>
      <c r="M671" s="1" t="s">
        <v>336</v>
      </c>
      <c r="N671" s="31">
        <v>1</v>
      </c>
      <c r="O671" s="31">
        <v>1</v>
      </c>
      <c r="P671" s="32">
        <v>2002</v>
      </c>
    </row>
    <row r="672" spans="1:16" x14ac:dyDescent="0.25">
      <c r="A672" s="1" t="s">
        <v>376</v>
      </c>
      <c r="B672" s="31">
        <v>31.1</v>
      </c>
      <c r="C672" s="1" t="s">
        <v>20</v>
      </c>
      <c r="D672" s="2">
        <v>42644</v>
      </c>
      <c r="E672" s="2">
        <v>42644</v>
      </c>
      <c r="F672" s="17">
        <v>1152000</v>
      </c>
      <c r="G672" s="17">
        <v>37041.800000000003</v>
      </c>
      <c r="H672" s="31">
        <v>1</v>
      </c>
      <c r="I672" s="1" t="s">
        <v>21</v>
      </c>
      <c r="J672" s="1" t="s">
        <v>22</v>
      </c>
      <c r="K672" s="1" t="s">
        <v>360</v>
      </c>
      <c r="L672" s="1" t="s">
        <v>359</v>
      </c>
      <c r="M672" s="1" t="s">
        <v>128</v>
      </c>
      <c r="N672" s="31">
        <v>5</v>
      </c>
      <c r="O672" s="31">
        <v>2</v>
      </c>
      <c r="P672" s="32">
        <v>2016</v>
      </c>
    </row>
    <row r="673" spans="1:16" x14ac:dyDescent="0.25">
      <c r="A673" s="1" t="s">
        <v>376</v>
      </c>
      <c r="B673" s="31">
        <v>31.1</v>
      </c>
      <c r="C673" s="1" t="s">
        <v>20</v>
      </c>
      <c r="D673" s="2">
        <v>42644</v>
      </c>
      <c r="E673" s="2">
        <v>42644</v>
      </c>
      <c r="F673" s="17">
        <v>1152000</v>
      </c>
      <c r="G673" s="17">
        <v>37041.800000000003</v>
      </c>
      <c r="H673" s="31">
        <v>1</v>
      </c>
      <c r="I673" s="1" t="s">
        <v>21</v>
      </c>
      <c r="J673" s="1" t="s">
        <v>22</v>
      </c>
      <c r="K673" s="1" t="s">
        <v>360</v>
      </c>
      <c r="L673" s="1" t="s">
        <v>359</v>
      </c>
      <c r="M673" s="1" t="s">
        <v>128</v>
      </c>
      <c r="N673" s="31">
        <v>5</v>
      </c>
      <c r="O673" s="31">
        <v>2</v>
      </c>
      <c r="P673" s="32">
        <v>2016</v>
      </c>
    </row>
    <row r="674" spans="1:16" x14ac:dyDescent="0.25">
      <c r="A674" s="1" t="s">
        <v>364</v>
      </c>
      <c r="B674" s="31">
        <v>37.799999999999997</v>
      </c>
      <c r="C674" s="1" t="s">
        <v>20</v>
      </c>
      <c r="D674" s="2">
        <v>42795</v>
      </c>
      <c r="E674" s="2">
        <v>42795</v>
      </c>
      <c r="F674" s="17">
        <v>1402000</v>
      </c>
      <c r="G674" s="17">
        <v>37089.949999999997</v>
      </c>
      <c r="H674" s="31">
        <v>1</v>
      </c>
      <c r="I674" s="1" t="s">
        <v>21</v>
      </c>
      <c r="J674" s="1" t="s">
        <v>22</v>
      </c>
      <c r="K674" s="1" t="s">
        <v>360</v>
      </c>
      <c r="L674" s="1" t="s">
        <v>359</v>
      </c>
      <c r="M674" s="1"/>
      <c r="N674" s="31">
        <v>2</v>
      </c>
      <c r="O674" s="31">
        <v>1</v>
      </c>
      <c r="P674" s="32">
        <v>2011</v>
      </c>
    </row>
    <row r="675" spans="1:16" x14ac:dyDescent="0.25">
      <c r="A675" s="1" t="s">
        <v>389</v>
      </c>
      <c r="B675" s="31">
        <v>39</v>
      </c>
      <c r="C675" s="1" t="s">
        <v>20</v>
      </c>
      <c r="D675" s="2">
        <v>42705</v>
      </c>
      <c r="E675" s="2">
        <v>42705</v>
      </c>
      <c r="F675" s="17">
        <v>1450000</v>
      </c>
      <c r="G675" s="17">
        <v>37179.49</v>
      </c>
      <c r="H675" s="31">
        <v>1</v>
      </c>
      <c r="I675" s="1" t="s">
        <v>21</v>
      </c>
      <c r="J675" s="1" t="s">
        <v>22</v>
      </c>
      <c r="K675" s="1" t="s">
        <v>360</v>
      </c>
      <c r="L675" s="1" t="s">
        <v>359</v>
      </c>
      <c r="M675" s="1" t="s">
        <v>390</v>
      </c>
      <c r="N675" s="31">
        <v>2</v>
      </c>
      <c r="O675" s="31">
        <v>1</v>
      </c>
      <c r="P675" s="32">
        <v>2013</v>
      </c>
    </row>
    <row r="676" spans="1:16" x14ac:dyDescent="0.25">
      <c r="A676" s="1" t="s">
        <v>395</v>
      </c>
      <c r="B676" s="31">
        <v>53.6</v>
      </c>
      <c r="C676" s="1" t="s">
        <v>20</v>
      </c>
      <c r="D676" s="2">
        <v>42644</v>
      </c>
      <c r="E676" s="2">
        <v>42644</v>
      </c>
      <c r="F676" s="17">
        <v>2000000</v>
      </c>
      <c r="G676" s="17">
        <v>37313.43</v>
      </c>
      <c r="H676" s="31">
        <v>1</v>
      </c>
      <c r="I676" s="1" t="s">
        <v>21</v>
      </c>
      <c r="J676" s="1" t="s">
        <v>22</v>
      </c>
      <c r="K676" s="1" t="s">
        <v>360</v>
      </c>
      <c r="L676" s="1" t="s">
        <v>359</v>
      </c>
      <c r="M676" s="1"/>
      <c r="N676" s="31"/>
      <c r="O676" s="31">
        <v>1</v>
      </c>
      <c r="P676" s="32">
        <v>2010</v>
      </c>
    </row>
    <row r="677" spans="1:16" x14ac:dyDescent="0.25">
      <c r="A677" s="1" t="s">
        <v>385</v>
      </c>
      <c r="B677" s="31">
        <v>56.2</v>
      </c>
      <c r="C677" s="1" t="s">
        <v>20</v>
      </c>
      <c r="D677" s="2">
        <v>42644</v>
      </c>
      <c r="E677" s="2">
        <v>42644</v>
      </c>
      <c r="F677" s="17">
        <v>2100000</v>
      </c>
      <c r="G677" s="17">
        <v>37366.550000000003</v>
      </c>
      <c r="H677" s="31">
        <v>1</v>
      </c>
      <c r="I677" s="1" t="s">
        <v>21</v>
      </c>
      <c r="J677" s="1" t="s">
        <v>22</v>
      </c>
      <c r="K677" s="1" t="s">
        <v>360</v>
      </c>
      <c r="L677" s="1" t="s">
        <v>359</v>
      </c>
      <c r="M677" s="1" t="s">
        <v>386</v>
      </c>
      <c r="N677" s="31">
        <v>9</v>
      </c>
      <c r="O677" s="31">
        <v>1</v>
      </c>
      <c r="P677" s="32">
        <v>2010</v>
      </c>
    </row>
    <row r="678" spans="1:16" x14ac:dyDescent="0.25">
      <c r="A678" s="1" t="s">
        <v>395</v>
      </c>
      <c r="B678" s="31">
        <v>36</v>
      </c>
      <c r="C678" s="1" t="s">
        <v>20</v>
      </c>
      <c r="D678" s="2">
        <v>42675</v>
      </c>
      <c r="E678" s="2">
        <v>42675</v>
      </c>
      <c r="F678" s="17">
        <v>1350000</v>
      </c>
      <c r="G678" s="17">
        <v>37500</v>
      </c>
      <c r="H678" s="31">
        <v>1</v>
      </c>
      <c r="I678" s="1" t="s">
        <v>21</v>
      </c>
      <c r="J678" s="1" t="s">
        <v>32</v>
      </c>
      <c r="K678" s="1" t="s">
        <v>360</v>
      </c>
      <c r="L678" s="1" t="s">
        <v>359</v>
      </c>
      <c r="M678" s="1"/>
      <c r="N678" s="31">
        <v>2</v>
      </c>
      <c r="O678" s="31">
        <v>2</v>
      </c>
      <c r="P678" s="32">
        <v>2006</v>
      </c>
    </row>
    <row r="679" spans="1:16" x14ac:dyDescent="0.25">
      <c r="A679" s="1" t="s">
        <v>395</v>
      </c>
      <c r="B679" s="31">
        <v>36</v>
      </c>
      <c r="C679" s="1" t="s">
        <v>20</v>
      </c>
      <c r="D679" s="2">
        <v>42675</v>
      </c>
      <c r="E679" s="2">
        <v>42675</v>
      </c>
      <c r="F679" s="17">
        <v>1350000</v>
      </c>
      <c r="G679" s="17">
        <v>37500</v>
      </c>
      <c r="H679" s="31">
        <v>1</v>
      </c>
      <c r="I679" s="1" t="s">
        <v>21</v>
      </c>
      <c r="J679" s="1" t="s">
        <v>32</v>
      </c>
      <c r="K679" s="1" t="s">
        <v>360</v>
      </c>
      <c r="L679" s="1" t="s">
        <v>359</v>
      </c>
      <c r="M679" s="1"/>
      <c r="N679" s="31">
        <v>2</v>
      </c>
      <c r="O679" s="31">
        <v>2</v>
      </c>
      <c r="P679" s="32">
        <v>2006</v>
      </c>
    </row>
    <row r="680" spans="1:16" x14ac:dyDescent="0.25">
      <c r="A680" s="1" t="s">
        <v>374</v>
      </c>
      <c r="B680" s="31">
        <v>30.9</v>
      </c>
      <c r="C680" s="1" t="s">
        <v>20</v>
      </c>
      <c r="D680" s="2">
        <v>42644</v>
      </c>
      <c r="E680" s="2">
        <v>42675</v>
      </c>
      <c r="F680" s="17">
        <v>1160000</v>
      </c>
      <c r="G680" s="17">
        <v>37540.449999999997</v>
      </c>
      <c r="H680" s="31">
        <v>1</v>
      </c>
      <c r="I680" s="1" t="s">
        <v>21</v>
      </c>
      <c r="J680" s="1" t="s">
        <v>22</v>
      </c>
      <c r="K680" s="1" t="s">
        <v>360</v>
      </c>
      <c r="L680" s="1" t="s">
        <v>359</v>
      </c>
      <c r="M680" s="1" t="s">
        <v>128</v>
      </c>
      <c r="N680" s="31">
        <v>3</v>
      </c>
      <c r="O680" s="31">
        <v>1</v>
      </c>
      <c r="P680" s="32">
        <v>2002</v>
      </c>
    </row>
    <row r="681" spans="1:16" x14ac:dyDescent="0.25">
      <c r="A681" s="1" t="s">
        <v>384</v>
      </c>
      <c r="B681" s="31">
        <v>48.7</v>
      </c>
      <c r="C681" s="1" t="s">
        <v>20</v>
      </c>
      <c r="D681" s="2">
        <v>42795</v>
      </c>
      <c r="E681" s="2">
        <v>42795</v>
      </c>
      <c r="F681" s="17">
        <v>1860000</v>
      </c>
      <c r="G681" s="17">
        <v>38193.019999999997</v>
      </c>
      <c r="H681" s="31">
        <v>1</v>
      </c>
      <c r="I681" s="1" t="s">
        <v>21</v>
      </c>
      <c r="J681" s="1" t="s">
        <v>22</v>
      </c>
      <c r="K681" s="1" t="s">
        <v>360</v>
      </c>
      <c r="L681" s="1" t="s">
        <v>359</v>
      </c>
      <c r="M681" s="1" t="s">
        <v>363</v>
      </c>
      <c r="N681" s="31">
        <v>5</v>
      </c>
      <c r="O681" s="31">
        <v>1</v>
      </c>
      <c r="P681" s="32">
        <v>2006</v>
      </c>
    </row>
    <row r="682" spans="1:16" x14ac:dyDescent="0.25">
      <c r="A682" s="1" t="s">
        <v>362</v>
      </c>
      <c r="B682" s="31">
        <v>43.2</v>
      </c>
      <c r="C682" s="1" t="s">
        <v>20</v>
      </c>
      <c r="D682" s="2">
        <v>42705</v>
      </c>
      <c r="E682" s="2">
        <v>42705</v>
      </c>
      <c r="F682" s="17">
        <v>1656000</v>
      </c>
      <c r="G682" s="17">
        <v>38333.33</v>
      </c>
      <c r="H682" s="31">
        <v>1</v>
      </c>
      <c r="I682" s="1" t="s">
        <v>21</v>
      </c>
      <c r="J682" s="1" t="s">
        <v>22</v>
      </c>
      <c r="K682" s="1" t="s">
        <v>360</v>
      </c>
      <c r="L682" s="1" t="s">
        <v>359</v>
      </c>
      <c r="M682" s="1" t="s">
        <v>363</v>
      </c>
      <c r="N682" s="31">
        <v>2</v>
      </c>
      <c r="O682" s="31">
        <v>1</v>
      </c>
      <c r="P682" s="32">
        <v>2005</v>
      </c>
    </row>
    <row r="683" spans="1:16" x14ac:dyDescent="0.25">
      <c r="A683" s="1" t="s">
        <v>362</v>
      </c>
      <c r="B683" s="31">
        <v>44.3</v>
      </c>
      <c r="C683" s="1" t="s">
        <v>20</v>
      </c>
      <c r="D683" s="2">
        <v>42644</v>
      </c>
      <c r="E683" s="2">
        <v>42675</v>
      </c>
      <c r="F683" s="17">
        <v>1710000</v>
      </c>
      <c r="G683" s="17">
        <v>38600.449999999997</v>
      </c>
      <c r="H683" s="31">
        <v>1</v>
      </c>
      <c r="I683" s="1" t="s">
        <v>21</v>
      </c>
      <c r="J683" s="1" t="s">
        <v>22</v>
      </c>
      <c r="K683" s="1" t="s">
        <v>360</v>
      </c>
      <c r="L683" s="1" t="s">
        <v>359</v>
      </c>
      <c r="M683" s="1" t="s">
        <v>128</v>
      </c>
      <c r="N683" s="31">
        <v>4</v>
      </c>
      <c r="O683" s="31">
        <v>1</v>
      </c>
      <c r="P683" s="32">
        <v>2004</v>
      </c>
    </row>
    <row r="684" spans="1:16" x14ac:dyDescent="0.25">
      <c r="A684" s="1" t="s">
        <v>376</v>
      </c>
      <c r="B684" s="31">
        <v>31</v>
      </c>
      <c r="C684" s="1" t="s">
        <v>20</v>
      </c>
      <c r="D684" s="2">
        <v>42767</v>
      </c>
      <c r="E684" s="2">
        <v>42767</v>
      </c>
      <c r="F684" s="17">
        <v>1216000</v>
      </c>
      <c r="G684" s="17">
        <v>39225.81</v>
      </c>
      <c r="H684" s="31">
        <v>1</v>
      </c>
      <c r="I684" s="1" t="s">
        <v>21</v>
      </c>
      <c r="J684" s="1" t="s">
        <v>22</v>
      </c>
      <c r="K684" s="1" t="s">
        <v>360</v>
      </c>
      <c r="L684" s="1" t="s">
        <v>359</v>
      </c>
      <c r="M684" s="1" t="s">
        <v>363</v>
      </c>
      <c r="N684" s="31">
        <v>4</v>
      </c>
      <c r="O684" s="31">
        <v>1</v>
      </c>
      <c r="P684" s="32">
        <v>2015</v>
      </c>
    </row>
    <row r="685" spans="1:16" x14ac:dyDescent="0.25">
      <c r="A685" s="1" t="s">
        <v>364</v>
      </c>
      <c r="B685" s="31">
        <v>39.5</v>
      </c>
      <c r="C685" s="1" t="s">
        <v>20</v>
      </c>
      <c r="D685" s="2">
        <v>42644</v>
      </c>
      <c r="E685" s="2">
        <v>42644</v>
      </c>
      <c r="F685" s="17">
        <v>1561000</v>
      </c>
      <c r="G685" s="17">
        <v>39518.99</v>
      </c>
      <c r="H685" s="31">
        <v>1</v>
      </c>
      <c r="I685" s="1" t="s">
        <v>21</v>
      </c>
      <c r="J685" s="1" t="s">
        <v>22</v>
      </c>
      <c r="K685" s="1" t="s">
        <v>360</v>
      </c>
      <c r="L685" s="1" t="s">
        <v>359</v>
      </c>
      <c r="M685" s="1"/>
      <c r="N685" s="31">
        <v>5</v>
      </c>
      <c r="O685" s="31">
        <v>1</v>
      </c>
      <c r="P685" s="32">
        <v>2015</v>
      </c>
    </row>
    <row r="686" spans="1:16" x14ac:dyDescent="0.25">
      <c r="A686" s="1" t="s">
        <v>362</v>
      </c>
      <c r="B686" s="31">
        <v>60.4</v>
      </c>
      <c r="C686" s="1" t="s">
        <v>20</v>
      </c>
      <c r="D686" s="2">
        <v>42767</v>
      </c>
      <c r="E686" s="2">
        <v>42795</v>
      </c>
      <c r="F686" s="17">
        <v>2400000</v>
      </c>
      <c r="G686" s="17">
        <v>39735.1</v>
      </c>
      <c r="H686" s="31">
        <v>1</v>
      </c>
      <c r="I686" s="1" t="s">
        <v>21</v>
      </c>
      <c r="J686" s="1" t="s">
        <v>22</v>
      </c>
      <c r="K686" s="1" t="s">
        <v>360</v>
      </c>
      <c r="L686" s="1" t="s">
        <v>359</v>
      </c>
      <c r="M686" s="1" t="s">
        <v>128</v>
      </c>
      <c r="N686" s="31">
        <v>2</v>
      </c>
      <c r="O686" s="31">
        <v>1</v>
      </c>
      <c r="P686" s="32">
        <v>2007</v>
      </c>
    </row>
    <row r="687" spans="1:16" x14ac:dyDescent="0.25">
      <c r="A687" s="1" t="s">
        <v>402</v>
      </c>
      <c r="B687" s="31">
        <v>58.7</v>
      </c>
      <c r="C687" s="1" t="s">
        <v>20</v>
      </c>
      <c r="D687" s="2">
        <v>42795</v>
      </c>
      <c r="E687" s="2">
        <v>42795</v>
      </c>
      <c r="F687" s="17">
        <v>2334000</v>
      </c>
      <c r="G687" s="17">
        <v>39761.5</v>
      </c>
      <c r="H687" s="31">
        <v>1</v>
      </c>
      <c r="I687" s="1" t="s">
        <v>21</v>
      </c>
      <c r="J687" s="1" t="s">
        <v>18</v>
      </c>
      <c r="K687" s="1" t="s">
        <v>360</v>
      </c>
      <c r="L687" s="1" t="s">
        <v>359</v>
      </c>
      <c r="M687" s="1" t="s">
        <v>299</v>
      </c>
      <c r="N687" s="31">
        <v>2</v>
      </c>
      <c r="O687" s="31">
        <v>1</v>
      </c>
      <c r="P687" s="32">
        <v>2017</v>
      </c>
    </row>
    <row r="688" spans="1:16" x14ac:dyDescent="0.25">
      <c r="A688" s="1" t="s">
        <v>391</v>
      </c>
      <c r="B688" s="31">
        <v>31.9</v>
      </c>
      <c r="C688" s="1" t="s">
        <v>20</v>
      </c>
      <c r="D688" s="2">
        <v>42705</v>
      </c>
      <c r="E688" s="2">
        <v>42705</v>
      </c>
      <c r="F688" s="17">
        <v>1270000</v>
      </c>
      <c r="G688" s="17">
        <v>39811.910000000003</v>
      </c>
      <c r="H688" s="31">
        <v>1</v>
      </c>
      <c r="I688" s="1" t="s">
        <v>21</v>
      </c>
      <c r="J688" s="1" t="s">
        <v>22</v>
      </c>
      <c r="K688" s="1" t="s">
        <v>360</v>
      </c>
      <c r="L688" s="1" t="s">
        <v>359</v>
      </c>
      <c r="M688" s="1" t="s">
        <v>234</v>
      </c>
      <c r="N688" s="31">
        <v>4</v>
      </c>
      <c r="O688" s="31">
        <v>1</v>
      </c>
      <c r="P688" s="32">
        <v>2013</v>
      </c>
    </row>
    <row r="689" spans="1:16" x14ac:dyDescent="0.25">
      <c r="A689" s="1" t="s">
        <v>362</v>
      </c>
      <c r="B689" s="31">
        <v>45.7</v>
      </c>
      <c r="C689" s="1" t="s">
        <v>20</v>
      </c>
      <c r="D689" s="2">
        <v>42644</v>
      </c>
      <c r="E689" s="2">
        <v>42644</v>
      </c>
      <c r="F689" s="17">
        <v>1850000</v>
      </c>
      <c r="G689" s="17">
        <v>40481.4</v>
      </c>
      <c r="H689" s="31">
        <v>1</v>
      </c>
      <c r="I689" s="1" t="s">
        <v>21</v>
      </c>
      <c r="J689" s="1" t="s">
        <v>22</v>
      </c>
      <c r="K689" s="1" t="s">
        <v>360</v>
      </c>
      <c r="L689" s="1" t="s">
        <v>359</v>
      </c>
      <c r="M689" s="1" t="s">
        <v>299</v>
      </c>
      <c r="N689" s="31">
        <v>1</v>
      </c>
      <c r="O689" s="31">
        <v>1</v>
      </c>
      <c r="P689" s="32">
        <v>2005</v>
      </c>
    </row>
    <row r="690" spans="1:16" x14ac:dyDescent="0.25">
      <c r="A690" s="1" t="s">
        <v>367</v>
      </c>
      <c r="B690" s="31">
        <v>55.3</v>
      </c>
      <c r="C690" s="1" t="s">
        <v>20</v>
      </c>
      <c r="D690" s="2">
        <v>42614</v>
      </c>
      <c r="E690" s="2">
        <v>42644</v>
      </c>
      <c r="F690" s="17">
        <v>2240000</v>
      </c>
      <c r="G690" s="17">
        <v>40506.33</v>
      </c>
      <c r="H690" s="31">
        <v>1</v>
      </c>
      <c r="I690" s="1" t="s">
        <v>21</v>
      </c>
      <c r="J690" s="1" t="s">
        <v>22</v>
      </c>
      <c r="K690" s="1" t="s">
        <v>360</v>
      </c>
      <c r="L690" s="1" t="s">
        <v>359</v>
      </c>
      <c r="M690" s="1" t="s">
        <v>363</v>
      </c>
      <c r="N690" s="31">
        <v>5</v>
      </c>
      <c r="O690" s="31">
        <v>1</v>
      </c>
      <c r="P690" s="32">
        <v>2011</v>
      </c>
    </row>
    <row r="691" spans="1:16" x14ac:dyDescent="0.25">
      <c r="A691" s="1" t="s">
        <v>362</v>
      </c>
      <c r="B691" s="31">
        <v>42.4</v>
      </c>
      <c r="C691" s="1" t="s">
        <v>20</v>
      </c>
      <c r="D691" s="2">
        <v>42795</v>
      </c>
      <c r="E691" s="2">
        <v>42795</v>
      </c>
      <c r="F691" s="17">
        <v>1722000</v>
      </c>
      <c r="G691" s="17">
        <v>40613.21</v>
      </c>
      <c r="H691" s="31">
        <v>1</v>
      </c>
      <c r="I691" s="1" t="s">
        <v>21</v>
      </c>
      <c r="J691" s="1" t="s">
        <v>22</v>
      </c>
      <c r="K691" s="1" t="s">
        <v>360</v>
      </c>
      <c r="L691" s="1" t="s">
        <v>359</v>
      </c>
      <c r="M691" s="1" t="s">
        <v>299</v>
      </c>
      <c r="N691" s="31">
        <v>5</v>
      </c>
      <c r="O691" s="31">
        <v>2</v>
      </c>
      <c r="P691" s="32">
        <v>2002</v>
      </c>
    </row>
    <row r="692" spans="1:16" x14ac:dyDescent="0.25">
      <c r="A692" s="1" t="s">
        <v>362</v>
      </c>
      <c r="B692" s="31">
        <v>42.4</v>
      </c>
      <c r="C692" s="1" t="s">
        <v>20</v>
      </c>
      <c r="D692" s="2">
        <v>42795</v>
      </c>
      <c r="E692" s="2">
        <v>42795</v>
      </c>
      <c r="F692" s="17">
        <v>1722000</v>
      </c>
      <c r="G692" s="17">
        <v>40613.21</v>
      </c>
      <c r="H692" s="31">
        <v>1</v>
      </c>
      <c r="I692" s="1" t="s">
        <v>21</v>
      </c>
      <c r="J692" s="1" t="s">
        <v>22</v>
      </c>
      <c r="K692" s="1" t="s">
        <v>360</v>
      </c>
      <c r="L692" s="1" t="s">
        <v>359</v>
      </c>
      <c r="M692" s="1" t="s">
        <v>299</v>
      </c>
      <c r="N692" s="31">
        <v>5</v>
      </c>
      <c r="O692" s="31">
        <v>2</v>
      </c>
      <c r="P692" s="32">
        <v>2002</v>
      </c>
    </row>
    <row r="693" spans="1:16" x14ac:dyDescent="0.25">
      <c r="A693" s="1" t="s">
        <v>410</v>
      </c>
      <c r="B693" s="31">
        <v>40.299999999999997</v>
      </c>
      <c r="C693" s="1" t="s">
        <v>20</v>
      </c>
      <c r="D693" s="2">
        <v>42705</v>
      </c>
      <c r="E693" s="2">
        <v>42705</v>
      </c>
      <c r="F693" s="17">
        <v>1640000</v>
      </c>
      <c r="G693" s="17">
        <v>40694.79</v>
      </c>
      <c r="H693" s="31">
        <v>1</v>
      </c>
      <c r="I693" s="1" t="s">
        <v>21</v>
      </c>
      <c r="J693" s="1" t="s">
        <v>22</v>
      </c>
      <c r="K693" s="1" t="s">
        <v>360</v>
      </c>
      <c r="L693" s="1" t="s">
        <v>359</v>
      </c>
      <c r="M693" s="1" t="s">
        <v>128</v>
      </c>
      <c r="N693" s="31">
        <v>4</v>
      </c>
      <c r="O693" s="31">
        <v>1</v>
      </c>
      <c r="P693" s="32">
        <v>2012</v>
      </c>
    </row>
    <row r="694" spans="1:16" x14ac:dyDescent="0.25">
      <c r="A694" s="1" t="s">
        <v>407</v>
      </c>
      <c r="B694" s="31">
        <v>27.7</v>
      </c>
      <c r="C694" s="1" t="s">
        <v>20</v>
      </c>
      <c r="D694" s="2">
        <v>42795</v>
      </c>
      <c r="E694" s="2">
        <v>42795</v>
      </c>
      <c r="F694" s="17">
        <v>1128000</v>
      </c>
      <c r="G694" s="17">
        <v>40722.019999999997</v>
      </c>
      <c r="H694" s="31">
        <v>1</v>
      </c>
      <c r="I694" s="1" t="s">
        <v>21</v>
      </c>
      <c r="J694" s="1" t="s">
        <v>32</v>
      </c>
      <c r="K694" s="1" t="s">
        <v>360</v>
      </c>
      <c r="L694" s="1" t="s">
        <v>359</v>
      </c>
      <c r="M694" s="1" t="s">
        <v>299</v>
      </c>
      <c r="N694" s="31">
        <v>3</v>
      </c>
      <c r="O694" s="31">
        <v>2</v>
      </c>
      <c r="P694" s="32">
        <v>2004</v>
      </c>
    </row>
    <row r="695" spans="1:16" x14ac:dyDescent="0.25">
      <c r="A695" s="1" t="s">
        <v>407</v>
      </c>
      <c r="B695" s="31">
        <v>27.7</v>
      </c>
      <c r="C695" s="1" t="s">
        <v>20</v>
      </c>
      <c r="D695" s="2">
        <v>42795</v>
      </c>
      <c r="E695" s="2">
        <v>42795</v>
      </c>
      <c r="F695" s="17">
        <v>1128000</v>
      </c>
      <c r="G695" s="17">
        <v>40722.019999999997</v>
      </c>
      <c r="H695" s="31">
        <v>1</v>
      </c>
      <c r="I695" s="1" t="s">
        <v>21</v>
      </c>
      <c r="J695" s="1" t="s">
        <v>32</v>
      </c>
      <c r="K695" s="1" t="s">
        <v>360</v>
      </c>
      <c r="L695" s="1" t="s">
        <v>359</v>
      </c>
      <c r="M695" s="1" t="s">
        <v>299</v>
      </c>
      <c r="N695" s="31">
        <v>3</v>
      </c>
      <c r="O695" s="31">
        <v>2</v>
      </c>
      <c r="P695" s="32">
        <v>2004</v>
      </c>
    </row>
    <row r="696" spans="1:16" x14ac:dyDescent="0.25">
      <c r="A696" s="1" t="s">
        <v>364</v>
      </c>
      <c r="B696" s="31">
        <v>55</v>
      </c>
      <c r="C696" s="1" t="s">
        <v>20</v>
      </c>
      <c r="D696" s="2">
        <v>42644</v>
      </c>
      <c r="E696" s="2">
        <v>42644</v>
      </c>
      <c r="F696" s="17">
        <v>2250000</v>
      </c>
      <c r="G696" s="17">
        <v>40909.089999999997</v>
      </c>
      <c r="H696" s="31">
        <v>1</v>
      </c>
      <c r="I696" s="1" t="s">
        <v>21</v>
      </c>
      <c r="J696" s="1" t="s">
        <v>22</v>
      </c>
      <c r="K696" s="1" t="s">
        <v>360</v>
      </c>
      <c r="L696" s="1" t="s">
        <v>359</v>
      </c>
      <c r="M696" s="1"/>
      <c r="N696" s="31">
        <v>4</v>
      </c>
      <c r="O696" s="31">
        <v>1</v>
      </c>
      <c r="P696" s="32">
        <v>2011</v>
      </c>
    </row>
    <row r="697" spans="1:16" x14ac:dyDescent="0.25">
      <c r="A697" s="1" t="s">
        <v>362</v>
      </c>
      <c r="B697" s="31">
        <v>30.1</v>
      </c>
      <c r="C697" s="1" t="s">
        <v>20</v>
      </c>
      <c r="D697" s="2">
        <v>42736</v>
      </c>
      <c r="E697" s="2">
        <v>42736</v>
      </c>
      <c r="F697" s="17">
        <v>1240000</v>
      </c>
      <c r="G697" s="17">
        <v>41196.01</v>
      </c>
      <c r="H697" s="31">
        <v>1</v>
      </c>
      <c r="I697" s="1" t="s">
        <v>21</v>
      </c>
      <c r="J697" s="1" t="s">
        <v>22</v>
      </c>
      <c r="K697" s="1" t="s">
        <v>360</v>
      </c>
      <c r="L697" s="1" t="s">
        <v>359</v>
      </c>
      <c r="M697" s="1" t="s">
        <v>128</v>
      </c>
      <c r="N697" s="31">
        <v>5</v>
      </c>
      <c r="O697" s="31">
        <v>1</v>
      </c>
      <c r="P697" s="32">
        <v>2000</v>
      </c>
    </row>
    <row r="698" spans="1:16" x14ac:dyDescent="0.25">
      <c r="A698" s="1" t="s">
        <v>391</v>
      </c>
      <c r="B698" s="31">
        <v>49.8</v>
      </c>
      <c r="C698" s="1" t="s">
        <v>20</v>
      </c>
      <c r="D698" s="2">
        <v>42705</v>
      </c>
      <c r="E698" s="2">
        <v>42705</v>
      </c>
      <c r="F698" s="17">
        <v>2100000</v>
      </c>
      <c r="G698" s="17">
        <v>42168.67</v>
      </c>
      <c r="H698" s="31">
        <v>1</v>
      </c>
      <c r="I698" s="1" t="s">
        <v>21</v>
      </c>
      <c r="J698" s="1" t="s">
        <v>32</v>
      </c>
      <c r="K698" s="1" t="s">
        <v>360</v>
      </c>
      <c r="L698" s="1" t="s">
        <v>359</v>
      </c>
      <c r="M698" s="1" t="s">
        <v>370</v>
      </c>
      <c r="N698" s="31">
        <v>5</v>
      </c>
      <c r="O698" s="31">
        <v>2</v>
      </c>
      <c r="P698" s="32">
        <v>2003</v>
      </c>
    </row>
    <row r="699" spans="1:16" x14ac:dyDescent="0.25">
      <c r="A699" s="1" t="s">
        <v>391</v>
      </c>
      <c r="B699" s="31">
        <v>49.8</v>
      </c>
      <c r="C699" s="1" t="s">
        <v>20</v>
      </c>
      <c r="D699" s="2">
        <v>42705</v>
      </c>
      <c r="E699" s="2">
        <v>42705</v>
      </c>
      <c r="F699" s="17">
        <v>2100000</v>
      </c>
      <c r="G699" s="17">
        <v>42168.67</v>
      </c>
      <c r="H699" s="31">
        <v>1</v>
      </c>
      <c r="I699" s="1" t="s">
        <v>21</v>
      </c>
      <c r="J699" s="1" t="s">
        <v>32</v>
      </c>
      <c r="K699" s="1" t="s">
        <v>360</v>
      </c>
      <c r="L699" s="1" t="s">
        <v>359</v>
      </c>
      <c r="M699" s="1" t="s">
        <v>370</v>
      </c>
      <c r="N699" s="31">
        <v>5</v>
      </c>
      <c r="O699" s="31">
        <v>2</v>
      </c>
      <c r="P699" s="32">
        <v>2003</v>
      </c>
    </row>
    <row r="700" spans="1:16" x14ac:dyDescent="0.25">
      <c r="A700" s="1" t="s">
        <v>367</v>
      </c>
      <c r="B700" s="31">
        <v>60.4</v>
      </c>
      <c r="C700" s="1" t="s">
        <v>20</v>
      </c>
      <c r="D700" s="2">
        <v>42795</v>
      </c>
      <c r="E700" s="2">
        <v>42795</v>
      </c>
      <c r="F700" s="17">
        <v>2550000</v>
      </c>
      <c r="G700" s="17">
        <v>42218.54</v>
      </c>
      <c r="H700" s="31">
        <v>1</v>
      </c>
      <c r="I700" s="1" t="s">
        <v>21</v>
      </c>
      <c r="J700" s="1" t="s">
        <v>22</v>
      </c>
      <c r="K700" s="1" t="s">
        <v>360</v>
      </c>
      <c r="L700" s="1" t="s">
        <v>359</v>
      </c>
      <c r="M700" s="1" t="s">
        <v>363</v>
      </c>
      <c r="N700" s="31">
        <v>8</v>
      </c>
      <c r="O700" s="31">
        <v>1</v>
      </c>
      <c r="P700" s="32">
        <v>2016</v>
      </c>
    </row>
    <row r="701" spans="1:16" x14ac:dyDescent="0.25">
      <c r="A701" s="1" t="s">
        <v>362</v>
      </c>
      <c r="B701" s="31">
        <v>29.3</v>
      </c>
      <c r="C701" s="1" t="s">
        <v>20</v>
      </c>
      <c r="D701" s="2">
        <v>42767</v>
      </c>
      <c r="E701" s="2">
        <v>42767</v>
      </c>
      <c r="F701" s="17">
        <v>1250000</v>
      </c>
      <c r="G701" s="17">
        <v>42662.12</v>
      </c>
      <c r="H701" s="31">
        <v>1</v>
      </c>
      <c r="I701" s="1" t="s">
        <v>21</v>
      </c>
      <c r="J701" s="1" t="s">
        <v>22</v>
      </c>
      <c r="K701" s="1" t="s">
        <v>360</v>
      </c>
      <c r="L701" s="1" t="s">
        <v>359</v>
      </c>
      <c r="M701" s="1" t="s">
        <v>363</v>
      </c>
      <c r="N701" s="31">
        <v>5</v>
      </c>
      <c r="O701" s="31">
        <v>2</v>
      </c>
      <c r="P701" s="32">
        <v>2006</v>
      </c>
    </row>
    <row r="702" spans="1:16" x14ac:dyDescent="0.25">
      <c r="A702" s="1" t="s">
        <v>362</v>
      </c>
      <c r="B702" s="31">
        <v>29.3</v>
      </c>
      <c r="C702" s="1" t="s">
        <v>20</v>
      </c>
      <c r="D702" s="2">
        <v>42767</v>
      </c>
      <c r="E702" s="2">
        <v>42767</v>
      </c>
      <c r="F702" s="17">
        <v>1250000</v>
      </c>
      <c r="G702" s="17">
        <v>42662.12</v>
      </c>
      <c r="H702" s="31">
        <v>1</v>
      </c>
      <c r="I702" s="1" t="s">
        <v>21</v>
      </c>
      <c r="J702" s="1" t="s">
        <v>22</v>
      </c>
      <c r="K702" s="1" t="s">
        <v>360</v>
      </c>
      <c r="L702" s="1" t="s">
        <v>359</v>
      </c>
      <c r="M702" s="1" t="s">
        <v>363</v>
      </c>
      <c r="N702" s="31">
        <v>5</v>
      </c>
      <c r="O702" s="31">
        <v>2</v>
      </c>
      <c r="P702" s="32">
        <v>2006</v>
      </c>
    </row>
    <row r="703" spans="1:16" x14ac:dyDescent="0.25">
      <c r="A703" s="1" t="s">
        <v>367</v>
      </c>
      <c r="B703" s="31">
        <v>57.2</v>
      </c>
      <c r="C703" s="1" t="s">
        <v>20</v>
      </c>
      <c r="D703" s="2">
        <v>42675</v>
      </c>
      <c r="E703" s="2">
        <v>42675</v>
      </c>
      <c r="F703" s="17">
        <v>2450000</v>
      </c>
      <c r="G703" s="17">
        <v>42832.17</v>
      </c>
      <c r="H703" s="31">
        <v>1</v>
      </c>
      <c r="I703" s="1" t="s">
        <v>21</v>
      </c>
      <c r="J703" s="1" t="s">
        <v>22</v>
      </c>
      <c r="K703" s="1" t="s">
        <v>360</v>
      </c>
      <c r="L703" s="1" t="s">
        <v>359</v>
      </c>
      <c r="M703" s="1" t="s">
        <v>336</v>
      </c>
      <c r="N703" s="31">
        <v>9</v>
      </c>
      <c r="O703" s="31">
        <v>2</v>
      </c>
      <c r="P703" s="32">
        <v>2016</v>
      </c>
    </row>
    <row r="704" spans="1:16" x14ac:dyDescent="0.25">
      <c r="A704" s="1" t="s">
        <v>367</v>
      </c>
      <c r="B704" s="31">
        <v>57.2</v>
      </c>
      <c r="C704" s="1" t="s">
        <v>20</v>
      </c>
      <c r="D704" s="2">
        <v>42675</v>
      </c>
      <c r="E704" s="2">
        <v>42675</v>
      </c>
      <c r="F704" s="17">
        <v>2450000</v>
      </c>
      <c r="G704" s="17">
        <v>42832.17</v>
      </c>
      <c r="H704" s="31">
        <v>1</v>
      </c>
      <c r="I704" s="1" t="s">
        <v>21</v>
      </c>
      <c r="J704" s="1" t="s">
        <v>22</v>
      </c>
      <c r="K704" s="1" t="s">
        <v>360</v>
      </c>
      <c r="L704" s="1" t="s">
        <v>359</v>
      </c>
      <c r="M704" s="1" t="s">
        <v>336</v>
      </c>
      <c r="N704" s="31">
        <v>9</v>
      </c>
      <c r="O704" s="31">
        <v>2</v>
      </c>
      <c r="P704" s="32">
        <v>2016</v>
      </c>
    </row>
    <row r="705" spans="1:16" x14ac:dyDescent="0.25">
      <c r="A705" s="1" t="s">
        <v>362</v>
      </c>
      <c r="B705" s="31">
        <v>29.5</v>
      </c>
      <c r="C705" s="1" t="s">
        <v>20</v>
      </c>
      <c r="D705" s="2">
        <v>42644</v>
      </c>
      <c r="E705" s="2">
        <v>42644</v>
      </c>
      <c r="F705" s="17">
        <v>1295000</v>
      </c>
      <c r="G705" s="17">
        <v>43898.31</v>
      </c>
      <c r="H705" s="31">
        <v>1</v>
      </c>
      <c r="I705" s="1" t="s">
        <v>21</v>
      </c>
      <c r="J705" s="1" t="s">
        <v>32</v>
      </c>
      <c r="K705" s="1" t="s">
        <v>360</v>
      </c>
      <c r="L705" s="1" t="s">
        <v>359</v>
      </c>
      <c r="M705" s="1" t="s">
        <v>128</v>
      </c>
      <c r="N705" s="31">
        <v>1</v>
      </c>
      <c r="O705" s="31">
        <v>2</v>
      </c>
      <c r="P705" s="32">
        <v>2000</v>
      </c>
    </row>
    <row r="706" spans="1:16" x14ac:dyDescent="0.25">
      <c r="A706" s="1" t="s">
        <v>362</v>
      </c>
      <c r="B706" s="31">
        <v>29.5</v>
      </c>
      <c r="C706" s="1" t="s">
        <v>20</v>
      </c>
      <c r="D706" s="2">
        <v>42644</v>
      </c>
      <c r="E706" s="2">
        <v>42644</v>
      </c>
      <c r="F706" s="17">
        <v>1295000</v>
      </c>
      <c r="G706" s="17">
        <v>43898.31</v>
      </c>
      <c r="H706" s="31">
        <v>1</v>
      </c>
      <c r="I706" s="1" t="s">
        <v>21</v>
      </c>
      <c r="J706" s="1" t="s">
        <v>32</v>
      </c>
      <c r="K706" s="1" t="s">
        <v>360</v>
      </c>
      <c r="L706" s="1" t="s">
        <v>359</v>
      </c>
      <c r="M706" s="1" t="s">
        <v>128</v>
      </c>
      <c r="N706" s="31">
        <v>1</v>
      </c>
      <c r="O706" s="31">
        <v>2</v>
      </c>
      <c r="P706" s="32">
        <v>2000</v>
      </c>
    </row>
    <row r="707" spans="1:16" x14ac:dyDescent="0.25">
      <c r="A707" s="1" t="s">
        <v>366</v>
      </c>
      <c r="B707" s="31">
        <v>29.8</v>
      </c>
      <c r="C707" s="1" t="s">
        <v>20</v>
      </c>
      <c r="D707" s="2">
        <v>42644</v>
      </c>
      <c r="E707" s="2">
        <v>42644</v>
      </c>
      <c r="F707" s="17">
        <v>1320000</v>
      </c>
      <c r="G707" s="17">
        <v>44295.3</v>
      </c>
      <c r="H707" s="31">
        <v>1</v>
      </c>
      <c r="I707" s="1" t="s">
        <v>21</v>
      </c>
      <c r="J707" s="1" t="s">
        <v>22</v>
      </c>
      <c r="K707" s="1" t="s">
        <v>360</v>
      </c>
      <c r="L707" s="1" t="s">
        <v>359</v>
      </c>
      <c r="M707" s="1"/>
      <c r="N707" s="31">
        <v>2</v>
      </c>
      <c r="O707" s="31">
        <v>1</v>
      </c>
      <c r="P707" s="32">
        <v>2002</v>
      </c>
    </row>
    <row r="708" spans="1:16" x14ac:dyDescent="0.25">
      <c r="A708" s="1" t="s">
        <v>376</v>
      </c>
      <c r="B708" s="31">
        <v>29.9</v>
      </c>
      <c r="C708" s="1" t="s">
        <v>20</v>
      </c>
      <c r="D708" s="2">
        <v>42705</v>
      </c>
      <c r="E708" s="2">
        <v>42705</v>
      </c>
      <c r="F708" s="17">
        <v>1330000</v>
      </c>
      <c r="G708" s="17">
        <v>44481.61</v>
      </c>
      <c r="H708" s="31">
        <v>1</v>
      </c>
      <c r="I708" s="1" t="s">
        <v>21</v>
      </c>
      <c r="J708" s="1" t="s">
        <v>22</v>
      </c>
      <c r="K708" s="1" t="s">
        <v>360</v>
      </c>
      <c r="L708" s="1" t="s">
        <v>359</v>
      </c>
      <c r="M708" s="1"/>
      <c r="N708" s="31">
        <v>5</v>
      </c>
      <c r="O708" s="31">
        <v>2</v>
      </c>
      <c r="P708" s="32">
        <v>2011</v>
      </c>
    </row>
    <row r="709" spans="1:16" x14ac:dyDescent="0.25">
      <c r="A709" s="1" t="s">
        <v>376</v>
      </c>
      <c r="B709" s="31">
        <v>29.9</v>
      </c>
      <c r="C709" s="1" t="s">
        <v>20</v>
      </c>
      <c r="D709" s="2">
        <v>42705</v>
      </c>
      <c r="E709" s="2">
        <v>42705</v>
      </c>
      <c r="F709" s="17">
        <v>1330000</v>
      </c>
      <c r="G709" s="17">
        <v>44481.61</v>
      </c>
      <c r="H709" s="31">
        <v>1</v>
      </c>
      <c r="I709" s="1" t="s">
        <v>21</v>
      </c>
      <c r="J709" s="1" t="s">
        <v>22</v>
      </c>
      <c r="K709" s="1" t="s">
        <v>360</v>
      </c>
      <c r="L709" s="1" t="s">
        <v>359</v>
      </c>
      <c r="M709" s="1"/>
      <c r="N709" s="31">
        <v>5</v>
      </c>
      <c r="O709" s="31">
        <v>2</v>
      </c>
      <c r="P709" s="32">
        <v>2011</v>
      </c>
    </row>
    <row r="710" spans="1:16" x14ac:dyDescent="0.25">
      <c r="A710" s="1" t="s">
        <v>384</v>
      </c>
      <c r="B710" s="31">
        <v>27.8</v>
      </c>
      <c r="C710" s="1" t="s">
        <v>20</v>
      </c>
      <c r="D710" s="2">
        <v>42675</v>
      </c>
      <c r="E710" s="2">
        <v>42705</v>
      </c>
      <c r="F710" s="17">
        <v>1237288.1399999999</v>
      </c>
      <c r="G710" s="17">
        <v>44506.77</v>
      </c>
      <c r="H710" s="31">
        <v>1</v>
      </c>
      <c r="I710" s="1" t="s">
        <v>21</v>
      </c>
      <c r="J710" s="1" t="s">
        <v>18</v>
      </c>
      <c r="K710" s="1" t="s">
        <v>360</v>
      </c>
      <c r="L710" s="1" t="s">
        <v>359</v>
      </c>
      <c r="M710" s="1" t="s">
        <v>128</v>
      </c>
      <c r="N710" s="31">
        <v>1</v>
      </c>
      <c r="O710" s="31">
        <v>1</v>
      </c>
      <c r="P710" s="32">
        <v>2015</v>
      </c>
    </row>
    <row r="711" spans="1:16" x14ac:dyDescent="0.25">
      <c r="A711" s="1" t="s">
        <v>371</v>
      </c>
      <c r="B711" s="31">
        <v>50.9</v>
      </c>
      <c r="C711" s="1" t="s">
        <v>20</v>
      </c>
      <c r="D711" s="2">
        <v>42795</v>
      </c>
      <c r="E711" s="2">
        <v>42795</v>
      </c>
      <c r="F711" s="17">
        <v>2280000</v>
      </c>
      <c r="G711" s="17">
        <v>44793.71</v>
      </c>
      <c r="H711" s="31">
        <v>1</v>
      </c>
      <c r="I711" s="1" t="s">
        <v>21</v>
      </c>
      <c r="J711" s="1" t="s">
        <v>22</v>
      </c>
      <c r="K711" s="1" t="s">
        <v>360</v>
      </c>
      <c r="L711" s="1" t="s">
        <v>359</v>
      </c>
      <c r="M711" s="1" t="s">
        <v>372</v>
      </c>
      <c r="N711" s="31">
        <v>2</v>
      </c>
      <c r="O711" s="31">
        <v>2</v>
      </c>
      <c r="P711" s="32">
        <v>2014</v>
      </c>
    </row>
    <row r="712" spans="1:16" x14ac:dyDescent="0.25">
      <c r="A712" s="1" t="s">
        <v>371</v>
      </c>
      <c r="B712" s="31">
        <v>50.9</v>
      </c>
      <c r="C712" s="1" t="s">
        <v>20</v>
      </c>
      <c r="D712" s="2">
        <v>42795</v>
      </c>
      <c r="E712" s="2">
        <v>42795</v>
      </c>
      <c r="F712" s="17">
        <v>2280000</v>
      </c>
      <c r="G712" s="17">
        <v>44793.71</v>
      </c>
      <c r="H712" s="31">
        <v>1</v>
      </c>
      <c r="I712" s="1" t="s">
        <v>21</v>
      </c>
      <c r="J712" s="1" t="s">
        <v>22</v>
      </c>
      <c r="K712" s="1" t="s">
        <v>360</v>
      </c>
      <c r="L712" s="1" t="s">
        <v>359</v>
      </c>
      <c r="M712" s="1" t="s">
        <v>372</v>
      </c>
      <c r="N712" s="31">
        <v>2</v>
      </c>
      <c r="O712" s="31">
        <v>2</v>
      </c>
      <c r="P712" s="32">
        <v>2014</v>
      </c>
    </row>
    <row r="713" spans="1:16" x14ac:dyDescent="0.25">
      <c r="A713" s="1" t="s">
        <v>413</v>
      </c>
      <c r="B713" s="31">
        <v>43.3</v>
      </c>
      <c r="C713" s="1" t="s">
        <v>20</v>
      </c>
      <c r="D713" s="2">
        <v>42767</v>
      </c>
      <c r="E713" s="2">
        <v>42767</v>
      </c>
      <c r="F713" s="17">
        <v>1950000</v>
      </c>
      <c r="G713" s="17">
        <v>45034.64</v>
      </c>
      <c r="H713" s="31">
        <v>1</v>
      </c>
      <c r="I713" s="1" t="s">
        <v>21</v>
      </c>
      <c r="J713" s="1" t="s">
        <v>22</v>
      </c>
      <c r="K713" s="1" t="s">
        <v>360</v>
      </c>
      <c r="L713" s="1" t="s">
        <v>359</v>
      </c>
      <c r="M713" s="1"/>
      <c r="N713" s="31">
        <v>2</v>
      </c>
      <c r="O713" s="31">
        <v>2</v>
      </c>
      <c r="P713" s="32">
        <v>2003</v>
      </c>
    </row>
    <row r="714" spans="1:16" x14ac:dyDescent="0.25">
      <c r="A714" s="1" t="s">
        <v>413</v>
      </c>
      <c r="B714" s="31">
        <v>43.3</v>
      </c>
      <c r="C714" s="1" t="s">
        <v>20</v>
      </c>
      <c r="D714" s="2">
        <v>42767</v>
      </c>
      <c r="E714" s="2">
        <v>42767</v>
      </c>
      <c r="F714" s="17">
        <v>1950000</v>
      </c>
      <c r="G714" s="17">
        <v>45034.64</v>
      </c>
      <c r="H714" s="31">
        <v>1</v>
      </c>
      <c r="I714" s="1" t="s">
        <v>21</v>
      </c>
      <c r="J714" s="1" t="s">
        <v>22</v>
      </c>
      <c r="K714" s="1" t="s">
        <v>360</v>
      </c>
      <c r="L714" s="1" t="s">
        <v>359</v>
      </c>
      <c r="M714" s="1"/>
      <c r="N714" s="31">
        <v>2</v>
      </c>
      <c r="O714" s="31">
        <v>2</v>
      </c>
      <c r="P714" s="32">
        <v>2003</v>
      </c>
    </row>
    <row r="715" spans="1:16" x14ac:dyDescent="0.25">
      <c r="A715" s="1" t="s">
        <v>376</v>
      </c>
      <c r="B715" s="31">
        <v>43.4</v>
      </c>
      <c r="C715" s="1" t="s">
        <v>20</v>
      </c>
      <c r="D715" s="2">
        <v>42736</v>
      </c>
      <c r="E715" s="2">
        <v>42736</v>
      </c>
      <c r="F715" s="17">
        <v>1970000</v>
      </c>
      <c r="G715" s="17">
        <v>45391.71</v>
      </c>
      <c r="H715" s="31">
        <v>1</v>
      </c>
      <c r="I715" s="1" t="s">
        <v>21</v>
      </c>
      <c r="J715" s="1" t="s">
        <v>22</v>
      </c>
      <c r="K715" s="1" t="s">
        <v>360</v>
      </c>
      <c r="L715" s="1" t="s">
        <v>359</v>
      </c>
      <c r="M715" s="1" t="s">
        <v>363</v>
      </c>
      <c r="N715" s="31">
        <v>3</v>
      </c>
      <c r="O715" s="31">
        <v>1</v>
      </c>
      <c r="P715" s="32">
        <v>2009</v>
      </c>
    </row>
    <row r="716" spans="1:16" x14ac:dyDescent="0.25">
      <c r="A716" s="1" t="s">
        <v>362</v>
      </c>
      <c r="B716" s="31">
        <v>33.9</v>
      </c>
      <c r="C716" s="1" t="s">
        <v>20</v>
      </c>
      <c r="D716" s="2">
        <v>42705</v>
      </c>
      <c r="E716" s="2">
        <v>42705</v>
      </c>
      <c r="F716" s="17">
        <v>1900000</v>
      </c>
      <c r="G716" s="17">
        <v>56047.199999999997</v>
      </c>
      <c r="H716" s="31">
        <v>1</v>
      </c>
      <c r="I716" s="1" t="s">
        <v>21</v>
      </c>
      <c r="J716" s="1" t="s">
        <v>22</v>
      </c>
      <c r="K716" s="1" t="s">
        <v>360</v>
      </c>
      <c r="L716" s="1" t="s">
        <v>359</v>
      </c>
      <c r="M716" s="1" t="s">
        <v>363</v>
      </c>
      <c r="N716" s="31">
        <v>2</v>
      </c>
      <c r="O716" s="31">
        <v>1</v>
      </c>
      <c r="P716" s="32">
        <v>2016</v>
      </c>
    </row>
    <row r="717" spans="1:16" x14ac:dyDescent="0.25">
      <c r="A717" s="1" t="s">
        <v>423</v>
      </c>
      <c r="B717" s="31">
        <v>29.8</v>
      </c>
      <c r="C717" s="1" t="s">
        <v>20</v>
      </c>
      <c r="D717" s="2">
        <v>42736</v>
      </c>
      <c r="E717" s="2">
        <v>42736</v>
      </c>
      <c r="F717" s="17">
        <v>750000</v>
      </c>
      <c r="G717" s="17">
        <v>25167.79</v>
      </c>
      <c r="H717" s="31">
        <v>1</v>
      </c>
      <c r="I717" s="1" t="s">
        <v>21</v>
      </c>
      <c r="J717" s="1" t="s">
        <v>32</v>
      </c>
      <c r="K717" s="1" t="s">
        <v>419</v>
      </c>
      <c r="L717" s="1" t="s">
        <v>417</v>
      </c>
      <c r="M717" s="1" t="s">
        <v>434</v>
      </c>
      <c r="N717" s="31">
        <v>3</v>
      </c>
      <c r="O717" s="31">
        <v>1</v>
      </c>
      <c r="P717" s="32">
        <v>2014</v>
      </c>
    </row>
    <row r="718" spans="1:16" x14ac:dyDescent="0.25">
      <c r="A718" s="1" t="s">
        <v>424</v>
      </c>
      <c r="B718" s="31">
        <v>33.5</v>
      </c>
      <c r="C718" s="1" t="s">
        <v>20</v>
      </c>
      <c r="D718" s="2">
        <v>42795</v>
      </c>
      <c r="E718" s="2">
        <v>42795</v>
      </c>
      <c r="F718" s="17">
        <v>850000</v>
      </c>
      <c r="G718" s="17">
        <v>25373.13</v>
      </c>
      <c r="H718" s="31">
        <v>1</v>
      </c>
      <c r="I718" s="1" t="s">
        <v>21</v>
      </c>
      <c r="J718" s="1" t="s">
        <v>32</v>
      </c>
      <c r="K718" s="1" t="s">
        <v>419</v>
      </c>
      <c r="L718" s="1" t="s">
        <v>417</v>
      </c>
      <c r="M718" s="1"/>
      <c r="N718" s="31">
        <v>4</v>
      </c>
      <c r="O718" s="31">
        <v>1</v>
      </c>
      <c r="P718" s="32">
        <v>2004</v>
      </c>
    </row>
    <row r="719" spans="1:16" x14ac:dyDescent="0.25">
      <c r="A719" s="1" t="s">
        <v>423</v>
      </c>
      <c r="B719" s="31">
        <v>58.2</v>
      </c>
      <c r="C719" s="1" t="s">
        <v>20</v>
      </c>
      <c r="D719" s="2">
        <v>42675</v>
      </c>
      <c r="E719" s="2">
        <v>42675</v>
      </c>
      <c r="F719" s="17">
        <v>1500000</v>
      </c>
      <c r="G719" s="17">
        <v>25773.200000000001</v>
      </c>
      <c r="H719" s="31">
        <v>1</v>
      </c>
      <c r="I719" s="1" t="s">
        <v>21</v>
      </c>
      <c r="J719" s="1" t="s">
        <v>32</v>
      </c>
      <c r="K719" s="1" t="s">
        <v>419</v>
      </c>
      <c r="L719" s="1" t="s">
        <v>417</v>
      </c>
      <c r="M719" s="1" t="s">
        <v>427</v>
      </c>
      <c r="N719" s="31">
        <v>2</v>
      </c>
      <c r="O719" s="31">
        <v>2</v>
      </c>
      <c r="P719" s="32">
        <v>2007</v>
      </c>
    </row>
    <row r="720" spans="1:16" x14ac:dyDescent="0.25">
      <c r="A720" s="1" t="s">
        <v>423</v>
      </c>
      <c r="B720" s="31">
        <v>58.2</v>
      </c>
      <c r="C720" s="1" t="s">
        <v>20</v>
      </c>
      <c r="D720" s="2">
        <v>42675</v>
      </c>
      <c r="E720" s="2">
        <v>42675</v>
      </c>
      <c r="F720" s="17">
        <v>1500000</v>
      </c>
      <c r="G720" s="17">
        <v>25773.200000000001</v>
      </c>
      <c r="H720" s="31">
        <v>1</v>
      </c>
      <c r="I720" s="1" t="s">
        <v>21</v>
      </c>
      <c r="J720" s="1" t="s">
        <v>32</v>
      </c>
      <c r="K720" s="1" t="s">
        <v>419</v>
      </c>
      <c r="L720" s="1" t="s">
        <v>417</v>
      </c>
      <c r="M720" s="1" t="s">
        <v>427</v>
      </c>
      <c r="N720" s="31">
        <v>2</v>
      </c>
      <c r="O720" s="31">
        <v>2</v>
      </c>
      <c r="P720" s="32">
        <v>2007</v>
      </c>
    </row>
    <row r="721" spans="1:16" x14ac:dyDescent="0.25">
      <c r="A721" s="1" t="s">
        <v>420</v>
      </c>
      <c r="B721" s="31">
        <v>32.5</v>
      </c>
      <c r="C721" s="1" t="s">
        <v>20</v>
      </c>
      <c r="D721" s="2">
        <v>42767</v>
      </c>
      <c r="E721" s="2">
        <v>42795</v>
      </c>
      <c r="F721" s="17">
        <v>860000</v>
      </c>
      <c r="G721" s="17">
        <v>26461.54</v>
      </c>
      <c r="H721" s="31">
        <v>1</v>
      </c>
      <c r="I721" s="1" t="s">
        <v>21</v>
      </c>
      <c r="J721" s="1" t="s">
        <v>22</v>
      </c>
      <c r="K721" s="1" t="s">
        <v>419</v>
      </c>
      <c r="L721" s="1" t="s">
        <v>417</v>
      </c>
      <c r="M721" s="1" t="s">
        <v>183</v>
      </c>
      <c r="N721" s="31">
        <v>1</v>
      </c>
      <c r="O721" s="31">
        <v>1</v>
      </c>
      <c r="P721" s="32">
        <v>2015</v>
      </c>
    </row>
    <row r="722" spans="1:16" x14ac:dyDescent="0.25">
      <c r="A722" s="1" t="s">
        <v>425</v>
      </c>
      <c r="B722" s="31">
        <v>46.6</v>
      </c>
      <c r="C722" s="1" t="s">
        <v>20</v>
      </c>
      <c r="D722" s="2">
        <v>42736</v>
      </c>
      <c r="E722" s="2">
        <v>42736</v>
      </c>
      <c r="F722" s="17">
        <v>1240000</v>
      </c>
      <c r="G722" s="17">
        <v>26609.439999999999</v>
      </c>
      <c r="H722" s="31">
        <v>1</v>
      </c>
      <c r="I722" s="1" t="s">
        <v>21</v>
      </c>
      <c r="J722" s="1" t="s">
        <v>32</v>
      </c>
      <c r="K722" s="1" t="s">
        <v>419</v>
      </c>
      <c r="L722" s="1" t="s">
        <v>417</v>
      </c>
      <c r="M722" s="1" t="s">
        <v>183</v>
      </c>
      <c r="N722" s="31">
        <v>3</v>
      </c>
      <c r="O722" s="31">
        <v>1</v>
      </c>
      <c r="P722" s="32">
        <v>2002</v>
      </c>
    </row>
    <row r="723" spans="1:16" x14ac:dyDescent="0.25">
      <c r="A723" s="1" t="s">
        <v>423</v>
      </c>
      <c r="B723" s="31">
        <v>43.7</v>
      </c>
      <c r="C723" s="1" t="s">
        <v>20</v>
      </c>
      <c r="D723" s="2">
        <v>42795</v>
      </c>
      <c r="E723" s="2">
        <v>42795</v>
      </c>
      <c r="F723" s="17">
        <v>1200000</v>
      </c>
      <c r="G723" s="17">
        <v>27459.95</v>
      </c>
      <c r="H723" s="31">
        <v>1</v>
      </c>
      <c r="I723" s="1" t="s">
        <v>21</v>
      </c>
      <c r="J723" s="1" t="s">
        <v>32</v>
      </c>
      <c r="K723" s="1" t="s">
        <v>419</v>
      </c>
      <c r="L723" s="1" t="s">
        <v>417</v>
      </c>
      <c r="M723" s="1" t="s">
        <v>432</v>
      </c>
      <c r="N723" s="31">
        <v>2</v>
      </c>
      <c r="O723" s="31">
        <v>1</v>
      </c>
      <c r="P723" s="32">
        <v>2007</v>
      </c>
    </row>
    <row r="724" spans="1:16" x14ac:dyDescent="0.25">
      <c r="A724" s="1" t="s">
        <v>425</v>
      </c>
      <c r="B724" s="31">
        <v>50.9</v>
      </c>
      <c r="C724" s="1" t="s">
        <v>20</v>
      </c>
      <c r="D724" s="2">
        <v>42705</v>
      </c>
      <c r="E724" s="2">
        <v>42705</v>
      </c>
      <c r="F724" s="17">
        <v>1400000</v>
      </c>
      <c r="G724" s="17">
        <v>27504.91</v>
      </c>
      <c r="H724" s="31">
        <v>1</v>
      </c>
      <c r="I724" s="1" t="s">
        <v>21</v>
      </c>
      <c r="J724" s="1" t="s">
        <v>22</v>
      </c>
      <c r="K724" s="1" t="s">
        <v>419</v>
      </c>
      <c r="L724" s="1" t="s">
        <v>417</v>
      </c>
      <c r="M724" s="1"/>
      <c r="N724" s="31">
        <v>5</v>
      </c>
      <c r="O724" s="31">
        <v>1</v>
      </c>
      <c r="P724" s="32">
        <v>2002</v>
      </c>
    </row>
    <row r="725" spans="1:16" x14ac:dyDescent="0.25">
      <c r="A725" s="1" t="s">
        <v>423</v>
      </c>
      <c r="B725" s="31">
        <v>43.4</v>
      </c>
      <c r="C725" s="1" t="s">
        <v>20</v>
      </c>
      <c r="D725" s="2">
        <v>42675</v>
      </c>
      <c r="E725" s="2">
        <v>42675</v>
      </c>
      <c r="F725" s="17">
        <v>1200000</v>
      </c>
      <c r="G725" s="17">
        <v>27649.77</v>
      </c>
      <c r="H725" s="31">
        <v>1</v>
      </c>
      <c r="I725" s="1" t="s">
        <v>21</v>
      </c>
      <c r="J725" s="1" t="s">
        <v>32</v>
      </c>
      <c r="K725" s="1" t="s">
        <v>419</v>
      </c>
      <c r="L725" s="1" t="s">
        <v>417</v>
      </c>
      <c r="M725" s="1" t="s">
        <v>157</v>
      </c>
      <c r="N725" s="31">
        <v>1</v>
      </c>
      <c r="O725" s="31">
        <v>1</v>
      </c>
      <c r="P725" s="32">
        <v>2000</v>
      </c>
    </row>
    <row r="726" spans="1:16" x14ac:dyDescent="0.25">
      <c r="A726" s="1" t="s">
        <v>420</v>
      </c>
      <c r="B726" s="31">
        <v>53</v>
      </c>
      <c r="C726" s="1" t="s">
        <v>20</v>
      </c>
      <c r="D726" s="2">
        <v>42705</v>
      </c>
      <c r="E726" s="2">
        <v>42705</v>
      </c>
      <c r="F726" s="17">
        <v>1470000</v>
      </c>
      <c r="G726" s="17">
        <v>27735.85</v>
      </c>
      <c r="H726" s="31">
        <v>1</v>
      </c>
      <c r="I726" s="1" t="s">
        <v>21</v>
      </c>
      <c r="J726" s="1" t="s">
        <v>32</v>
      </c>
      <c r="K726" s="1" t="s">
        <v>419</v>
      </c>
      <c r="L726" s="1" t="s">
        <v>417</v>
      </c>
      <c r="M726" s="1"/>
      <c r="N726" s="31">
        <v>4</v>
      </c>
      <c r="O726" s="31">
        <v>1</v>
      </c>
      <c r="P726" s="32">
        <v>2016</v>
      </c>
    </row>
    <row r="727" spans="1:16" x14ac:dyDescent="0.25">
      <c r="A727" s="1" t="s">
        <v>433</v>
      </c>
      <c r="B727" s="31">
        <v>33.4</v>
      </c>
      <c r="C727" s="1" t="s">
        <v>20</v>
      </c>
      <c r="D727" s="2">
        <v>42795</v>
      </c>
      <c r="E727" s="2">
        <v>42795</v>
      </c>
      <c r="F727" s="17">
        <v>928000</v>
      </c>
      <c r="G727" s="17">
        <v>27784.43</v>
      </c>
      <c r="H727" s="31">
        <v>1</v>
      </c>
      <c r="I727" s="1" t="s">
        <v>21</v>
      </c>
      <c r="J727" s="1" t="s">
        <v>32</v>
      </c>
      <c r="K727" s="1" t="s">
        <v>419</v>
      </c>
      <c r="L727" s="1" t="s">
        <v>417</v>
      </c>
      <c r="M727" s="1" t="s">
        <v>128</v>
      </c>
      <c r="N727" s="31">
        <v>5</v>
      </c>
      <c r="O727" s="31">
        <v>1</v>
      </c>
      <c r="P727" s="32">
        <v>2006</v>
      </c>
    </row>
    <row r="728" spans="1:16" x14ac:dyDescent="0.25">
      <c r="A728" s="1" t="s">
        <v>424</v>
      </c>
      <c r="B728" s="31">
        <v>48.7</v>
      </c>
      <c r="C728" s="1" t="s">
        <v>20</v>
      </c>
      <c r="D728" s="2">
        <v>42705</v>
      </c>
      <c r="E728" s="2">
        <v>42705</v>
      </c>
      <c r="F728" s="17">
        <v>1360000</v>
      </c>
      <c r="G728" s="17">
        <v>27926.080000000002</v>
      </c>
      <c r="H728" s="31">
        <v>1</v>
      </c>
      <c r="I728" s="1" t="s">
        <v>21</v>
      </c>
      <c r="J728" s="1" t="s">
        <v>32</v>
      </c>
      <c r="K728" s="1" t="s">
        <v>419</v>
      </c>
      <c r="L728" s="1" t="s">
        <v>417</v>
      </c>
      <c r="M728" s="1" t="s">
        <v>183</v>
      </c>
      <c r="N728" s="31">
        <v>1</v>
      </c>
      <c r="O728" s="31">
        <v>1</v>
      </c>
      <c r="P728" s="32">
        <v>2001</v>
      </c>
    </row>
    <row r="729" spans="1:16" x14ac:dyDescent="0.25">
      <c r="A729" s="1" t="s">
        <v>423</v>
      </c>
      <c r="B729" s="31">
        <v>40.9</v>
      </c>
      <c r="C729" s="1" t="s">
        <v>20</v>
      </c>
      <c r="D729" s="2">
        <v>42705</v>
      </c>
      <c r="E729" s="2">
        <v>42705</v>
      </c>
      <c r="F729" s="17">
        <v>1150000</v>
      </c>
      <c r="G729" s="17">
        <v>28117.360000000001</v>
      </c>
      <c r="H729" s="31">
        <v>1</v>
      </c>
      <c r="I729" s="1" t="s">
        <v>21</v>
      </c>
      <c r="J729" s="1" t="s">
        <v>22</v>
      </c>
      <c r="K729" s="1" t="s">
        <v>419</v>
      </c>
      <c r="L729" s="1" t="s">
        <v>417</v>
      </c>
      <c r="M729" s="1" t="s">
        <v>62</v>
      </c>
      <c r="N729" s="31">
        <v>5</v>
      </c>
      <c r="O729" s="31">
        <v>1</v>
      </c>
      <c r="P729" s="32">
        <v>2016</v>
      </c>
    </row>
    <row r="730" spans="1:16" x14ac:dyDescent="0.25">
      <c r="A730" s="1" t="s">
        <v>425</v>
      </c>
      <c r="B730" s="31">
        <v>44.4</v>
      </c>
      <c r="C730" s="1" t="s">
        <v>20</v>
      </c>
      <c r="D730" s="2">
        <v>42705</v>
      </c>
      <c r="E730" s="2">
        <v>42705</v>
      </c>
      <c r="F730" s="17">
        <v>1250000</v>
      </c>
      <c r="G730" s="17">
        <v>28153.15</v>
      </c>
      <c r="H730" s="31">
        <v>1</v>
      </c>
      <c r="I730" s="1" t="s">
        <v>21</v>
      </c>
      <c r="J730" s="1" t="s">
        <v>32</v>
      </c>
      <c r="K730" s="1" t="s">
        <v>419</v>
      </c>
      <c r="L730" s="1" t="s">
        <v>417</v>
      </c>
      <c r="M730" s="1" t="s">
        <v>429</v>
      </c>
      <c r="N730" s="31">
        <v>5</v>
      </c>
      <c r="O730" s="31">
        <v>2</v>
      </c>
      <c r="P730" s="32">
        <v>2000</v>
      </c>
    </row>
    <row r="731" spans="1:16" x14ac:dyDescent="0.25">
      <c r="A731" s="1" t="s">
        <v>425</v>
      </c>
      <c r="B731" s="31">
        <v>44.4</v>
      </c>
      <c r="C731" s="1" t="s">
        <v>20</v>
      </c>
      <c r="D731" s="2">
        <v>42705</v>
      </c>
      <c r="E731" s="2">
        <v>42705</v>
      </c>
      <c r="F731" s="17">
        <v>1250000</v>
      </c>
      <c r="G731" s="17">
        <v>28153.15</v>
      </c>
      <c r="H731" s="31">
        <v>1</v>
      </c>
      <c r="I731" s="1" t="s">
        <v>21</v>
      </c>
      <c r="J731" s="1" t="s">
        <v>32</v>
      </c>
      <c r="K731" s="1" t="s">
        <v>419</v>
      </c>
      <c r="L731" s="1" t="s">
        <v>417</v>
      </c>
      <c r="M731" s="1" t="s">
        <v>429</v>
      </c>
      <c r="N731" s="31">
        <v>5</v>
      </c>
      <c r="O731" s="31">
        <v>2</v>
      </c>
      <c r="P731" s="32">
        <v>2000</v>
      </c>
    </row>
    <row r="732" spans="1:16" x14ac:dyDescent="0.25">
      <c r="A732" s="1" t="s">
        <v>425</v>
      </c>
      <c r="B732" s="31">
        <v>51</v>
      </c>
      <c r="C732" s="1" t="s">
        <v>20</v>
      </c>
      <c r="D732" s="2">
        <v>42705</v>
      </c>
      <c r="E732" s="2">
        <v>42705</v>
      </c>
      <c r="F732" s="17">
        <v>1440000</v>
      </c>
      <c r="G732" s="17">
        <v>28235.29</v>
      </c>
      <c r="H732" s="31">
        <v>1</v>
      </c>
      <c r="I732" s="1" t="s">
        <v>21</v>
      </c>
      <c r="J732" s="1" t="s">
        <v>32</v>
      </c>
      <c r="K732" s="1" t="s">
        <v>419</v>
      </c>
      <c r="L732" s="1" t="s">
        <v>417</v>
      </c>
      <c r="M732" s="1" t="s">
        <v>429</v>
      </c>
      <c r="N732" s="31">
        <v>5</v>
      </c>
      <c r="O732" s="31">
        <v>2</v>
      </c>
      <c r="P732" s="32">
        <v>2016</v>
      </c>
    </row>
    <row r="733" spans="1:16" x14ac:dyDescent="0.25">
      <c r="A733" s="1" t="s">
        <v>425</v>
      </c>
      <c r="B733" s="31">
        <v>51</v>
      </c>
      <c r="C733" s="1" t="s">
        <v>20</v>
      </c>
      <c r="D733" s="2">
        <v>42705</v>
      </c>
      <c r="E733" s="2">
        <v>42705</v>
      </c>
      <c r="F733" s="17">
        <v>1440000</v>
      </c>
      <c r="G733" s="17">
        <v>28235.29</v>
      </c>
      <c r="H733" s="31">
        <v>1</v>
      </c>
      <c r="I733" s="1" t="s">
        <v>21</v>
      </c>
      <c r="J733" s="1" t="s">
        <v>32</v>
      </c>
      <c r="K733" s="1" t="s">
        <v>419</v>
      </c>
      <c r="L733" s="1" t="s">
        <v>417</v>
      </c>
      <c r="M733" s="1" t="s">
        <v>429</v>
      </c>
      <c r="N733" s="31">
        <v>5</v>
      </c>
      <c r="O733" s="31">
        <v>2</v>
      </c>
      <c r="P733" s="32">
        <v>2016</v>
      </c>
    </row>
    <row r="734" spans="1:16" x14ac:dyDescent="0.25">
      <c r="A734" s="1" t="s">
        <v>421</v>
      </c>
      <c r="B734" s="31">
        <v>35.1</v>
      </c>
      <c r="C734" s="1" t="s">
        <v>20</v>
      </c>
      <c r="D734" s="2">
        <v>42644</v>
      </c>
      <c r="E734" s="2">
        <v>42644</v>
      </c>
      <c r="F734" s="17">
        <v>1000000</v>
      </c>
      <c r="G734" s="17">
        <v>28490.03</v>
      </c>
      <c r="H734" s="31">
        <v>1</v>
      </c>
      <c r="I734" s="1" t="s">
        <v>21</v>
      </c>
      <c r="J734" s="1" t="s">
        <v>32</v>
      </c>
      <c r="K734" s="1" t="s">
        <v>419</v>
      </c>
      <c r="L734" s="1" t="s">
        <v>417</v>
      </c>
      <c r="M734" s="1" t="s">
        <v>422</v>
      </c>
      <c r="N734" s="31">
        <v>4</v>
      </c>
      <c r="O734" s="31">
        <v>1</v>
      </c>
      <c r="P734" s="32">
        <v>2014</v>
      </c>
    </row>
    <row r="735" spans="1:16" x14ac:dyDescent="0.25">
      <c r="A735" s="1" t="s">
        <v>423</v>
      </c>
      <c r="B735" s="31">
        <v>58.7</v>
      </c>
      <c r="C735" s="1" t="s">
        <v>20</v>
      </c>
      <c r="D735" s="2">
        <v>42675</v>
      </c>
      <c r="E735" s="2">
        <v>42675</v>
      </c>
      <c r="F735" s="17">
        <v>1680000</v>
      </c>
      <c r="G735" s="17">
        <v>28620.1</v>
      </c>
      <c r="H735" s="31">
        <v>1</v>
      </c>
      <c r="I735" s="1" t="s">
        <v>21</v>
      </c>
      <c r="J735" s="1" t="s">
        <v>32</v>
      </c>
      <c r="K735" s="1" t="s">
        <v>419</v>
      </c>
      <c r="L735" s="1" t="s">
        <v>417</v>
      </c>
      <c r="M735" s="1" t="s">
        <v>428</v>
      </c>
      <c r="N735" s="31">
        <v>4</v>
      </c>
      <c r="O735" s="31">
        <v>2</v>
      </c>
      <c r="P735" s="32">
        <v>2006</v>
      </c>
    </row>
    <row r="736" spans="1:16" x14ac:dyDescent="0.25">
      <c r="A736" s="1" t="s">
        <v>423</v>
      </c>
      <c r="B736" s="31">
        <v>58.7</v>
      </c>
      <c r="C736" s="1" t="s">
        <v>20</v>
      </c>
      <c r="D736" s="2">
        <v>42675</v>
      </c>
      <c r="E736" s="2">
        <v>42675</v>
      </c>
      <c r="F736" s="17">
        <v>1680000</v>
      </c>
      <c r="G736" s="17">
        <v>28620.1</v>
      </c>
      <c r="H736" s="31">
        <v>1</v>
      </c>
      <c r="I736" s="1" t="s">
        <v>21</v>
      </c>
      <c r="J736" s="1" t="s">
        <v>32</v>
      </c>
      <c r="K736" s="1" t="s">
        <v>419</v>
      </c>
      <c r="L736" s="1" t="s">
        <v>417</v>
      </c>
      <c r="M736" s="1" t="s">
        <v>428</v>
      </c>
      <c r="N736" s="31">
        <v>4</v>
      </c>
      <c r="O736" s="31">
        <v>2</v>
      </c>
      <c r="P736" s="32">
        <v>2006</v>
      </c>
    </row>
    <row r="737" spans="1:16" x14ac:dyDescent="0.25">
      <c r="A737" s="1" t="s">
        <v>423</v>
      </c>
      <c r="B737" s="31">
        <v>40.200000000000003</v>
      </c>
      <c r="C737" s="1" t="s">
        <v>20</v>
      </c>
      <c r="D737" s="2">
        <v>42705</v>
      </c>
      <c r="E737" s="2">
        <v>42705</v>
      </c>
      <c r="F737" s="17">
        <v>1160000</v>
      </c>
      <c r="G737" s="17">
        <v>28855.72</v>
      </c>
      <c r="H737" s="31">
        <v>1</v>
      </c>
      <c r="I737" s="1" t="s">
        <v>21</v>
      </c>
      <c r="J737" s="1" t="s">
        <v>32</v>
      </c>
      <c r="K737" s="1" t="s">
        <v>419</v>
      </c>
      <c r="L737" s="1" t="s">
        <v>417</v>
      </c>
      <c r="M737" s="1" t="s">
        <v>62</v>
      </c>
      <c r="N737" s="31">
        <v>1</v>
      </c>
      <c r="O737" s="31">
        <v>1</v>
      </c>
      <c r="P737" s="32">
        <v>2005</v>
      </c>
    </row>
    <row r="738" spans="1:16" x14ac:dyDescent="0.25">
      <c r="A738" s="1" t="s">
        <v>420</v>
      </c>
      <c r="B738" s="31">
        <v>36.799999999999997</v>
      </c>
      <c r="C738" s="1" t="s">
        <v>20</v>
      </c>
      <c r="D738" s="2">
        <v>42795</v>
      </c>
      <c r="E738" s="2">
        <v>42795</v>
      </c>
      <c r="F738" s="17">
        <v>1064000</v>
      </c>
      <c r="G738" s="17">
        <v>28913.040000000001</v>
      </c>
      <c r="H738" s="31">
        <v>1</v>
      </c>
      <c r="I738" s="1" t="s">
        <v>21</v>
      </c>
      <c r="J738" s="1" t="s">
        <v>32</v>
      </c>
      <c r="K738" s="1" t="s">
        <v>419</v>
      </c>
      <c r="L738" s="1" t="s">
        <v>417</v>
      </c>
      <c r="M738" s="1"/>
      <c r="N738" s="31">
        <v>3</v>
      </c>
      <c r="O738" s="31">
        <v>1</v>
      </c>
      <c r="P738" s="32">
        <v>2016</v>
      </c>
    </row>
    <row r="739" spans="1:16" x14ac:dyDescent="0.25">
      <c r="A739" s="1" t="s">
        <v>421</v>
      </c>
      <c r="B739" s="31">
        <v>53.5</v>
      </c>
      <c r="C739" s="1" t="s">
        <v>20</v>
      </c>
      <c r="D739" s="2">
        <v>42705</v>
      </c>
      <c r="E739" s="2">
        <v>42705</v>
      </c>
      <c r="F739" s="17">
        <v>1600000</v>
      </c>
      <c r="G739" s="17">
        <v>29906.54</v>
      </c>
      <c r="H739" s="31">
        <v>1</v>
      </c>
      <c r="I739" s="1" t="s">
        <v>21</v>
      </c>
      <c r="J739" s="1" t="s">
        <v>32</v>
      </c>
      <c r="K739" s="1" t="s">
        <v>419</v>
      </c>
      <c r="L739" s="1" t="s">
        <v>417</v>
      </c>
      <c r="M739" s="1" t="s">
        <v>422</v>
      </c>
      <c r="N739" s="31">
        <v>4</v>
      </c>
      <c r="O739" s="31">
        <v>2</v>
      </c>
      <c r="P739" s="32">
        <v>2014</v>
      </c>
    </row>
    <row r="740" spans="1:16" x14ac:dyDescent="0.25">
      <c r="A740" s="1" t="s">
        <v>421</v>
      </c>
      <c r="B740" s="31">
        <v>53.5</v>
      </c>
      <c r="C740" s="1" t="s">
        <v>20</v>
      </c>
      <c r="D740" s="2">
        <v>42705</v>
      </c>
      <c r="E740" s="2">
        <v>42705</v>
      </c>
      <c r="F740" s="17">
        <v>1600000</v>
      </c>
      <c r="G740" s="17">
        <v>29906.54</v>
      </c>
      <c r="H740" s="31">
        <v>1</v>
      </c>
      <c r="I740" s="1" t="s">
        <v>21</v>
      </c>
      <c r="J740" s="1" t="s">
        <v>32</v>
      </c>
      <c r="K740" s="1" t="s">
        <v>419</v>
      </c>
      <c r="L740" s="1" t="s">
        <v>417</v>
      </c>
      <c r="M740" s="1" t="s">
        <v>422</v>
      </c>
      <c r="N740" s="31">
        <v>4</v>
      </c>
      <c r="O740" s="31">
        <v>2</v>
      </c>
      <c r="P740" s="32">
        <v>2014</v>
      </c>
    </row>
    <row r="741" spans="1:16" x14ac:dyDescent="0.25">
      <c r="A741" s="1" t="s">
        <v>425</v>
      </c>
      <c r="B741" s="31">
        <v>58.5</v>
      </c>
      <c r="C741" s="1" t="s">
        <v>20</v>
      </c>
      <c r="D741" s="2">
        <v>42705</v>
      </c>
      <c r="E741" s="2">
        <v>42705</v>
      </c>
      <c r="F741" s="17">
        <v>1750000</v>
      </c>
      <c r="G741" s="17">
        <v>29914.53</v>
      </c>
      <c r="H741" s="31">
        <v>1</v>
      </c>
      <c r="I741" s="1" t="s">
        <v>21</v>
      </c>
      <c r="J741" s="1" t="s">
        <v>32</v>
      </c>
      <c r="K741" s="1" t="s">
        <v>419</v>
      </c>
      <c r="L741" s="1" t="s">
        <v>417</v>
      </c>
      <c r="M741" s="1" t="s">
        <v>426</v>
      </c>
      <c r="N741" s="31">
        <v>1</v>
      </c>
      <c r="O741" s="31">
        <v>2</v>
      </c>
      <c r="P741" s="32">
        <v>2002</v>
      </c>
    </row>
    <row r="742" spans="1:16" x14ac:dyDescent="0.25">
      <c r="A742" s="1" t="s">
        <v>425</v>
      </c>
      <c r="B742" s="31">
        <v>58.5</v>
      </c>
      <c r="C742" s="1" t="s">
        <v>20</v>
      </c>
      <c r="D742" s="2">
        <v>42705</v>
      </c>
      <c r="E742" s="2">
        <v>42705</v>
      </c>
      <c r="F742" s="17">
        <v>1750000</v>
      </c>
      <c r="G742" s="17">
        <v>29914.53</v>
      </c>
      <c r="H742" s="31">
        <v>1</v>
      </c>
      <c r="I742" s="1" t="s">
        <v>21</v>
      </c>
      <c r="J742" s="1" t="s">
        <v>32</v>
      </c>
      <c r="K742" s="1" t="s">
        <v>419</v>
      </c>
      <c r="L742" s="1" t="s">
        <v>417</v>
      </c>
      <c r="M742" s="1" t="s">
        <v>426</v>
      </c>
      <c r="N742" s="31">
        <v>1</v>
      </c>
      <c r="O742" s="31">
        <v>2</v>
      </c>
      <c r="P742" s="32">
        <v>2002</v>
      </c>
    </row>
    <row r="743" spans="1:16" x14ac:dyDescent="0.25">
      <c r="A743" s="1" t="s">
        <v>425</v>
      </c>
      <c r="B743" s="31">
        <v>29.7</v>
      </c>
      <c r="C743" s="1" t="s">
        <v>20</v>
      </c>
      <c r="D743" s="2">
        <v>42736</v>
      </c>
      <c r="E743" s="2">
        <v>42736</v>
      </c>
      <c r="F743" s="17">
        <v>900000</v>
      </c>
      <c r="G743" s="17">
        <v>30303.03</v>
      </c>
      <c r="H743" s="31">
        <v>1</v>
      </c>
      <c r="I743" s="1" t="s">
        <v>21</v>
      </c>
      <c r="J743" s="1" t="s">
        <v>32</v>
      </c>
      <c r="K743" s="1" t="s">
        <v>419</v>
      </c>
      <c r="L743" s="1" t="s">
        <v>417</v>
      </c>
      <c r="M743" s="1" t="s">
        <v>426</v>
      </c>
      <c r="N743" s="31">
        <v>2</v>
      </c>
      <c r="O743" s="31">
        <v>1</v>
      </c>
      <c r="P743" s="32">
        <v>2001</v>
      </c>
    </row>
    <row r="744" spans="1:16" x14ac:dyDescent="0.25">
      <c r="A744" s="1" t="s">
        <v>424</v>
      </c>
      <c r="B744" s="31">
        <v>47.5</v>
      </c>
      <c r="C744" s="1" t="s">
        <v>20</v>
      </c>
      <c r="D744" s="2">
        <v>42644</v>
      </c>
      <c r="E744" s="2">
        <v>42644</v>
      </c>
      <c r="F744" s="17">
        <v>1440000</v>
      </c>
      <c r="G744" s="17">
        <v>30315.79</v>
      </c>
      <c r="H744" s="31">
        <v>1</v>
      </c>
      <c r="I744" s="1" t="s">
        <v>21</v>
      </c>
      <c r="J744" s="1" t="s">
        <v>32</v>
      </c>
      <c r="K744" s="1" t="s">
        <v>419</v>
      </c>
      <c r="L744" s="1" t="s">
        <v>417</v>
      </c>
      <c r="M744" s="1" t="s">
        <v>128</v>
      </c>
      <c r="N744" s="31">
        <v>3</v>
      </c>
      <c r="O744" s="31">
        <v>2</v>
      </c>
      <c r="P744" s="32">
        <v>2010</v>
      </c>
    </row>
    <row r="745" spans="1:16" x14ac:dyDescent="0.25">
      <c r="A745" s="1" t="s">
        <v>424</v>
      </c>
      <c r="B745" s="31">
        <v>47.5</v>
      </c>
      <c r="C745" s="1" t="s">
        <v>20</v>
      </c>
      <c r="D745" s="2">
        <v>42644</v>
      </c>
      <c r="E745" s="2">
        <v>42644</v>
      </c>
      <c r="F745" s="17">
        <v>1440000</v>
      </c>
      <c r="G745" s="17">
        <v>30315.79</v>
      </c>
      <c r="H745" s="31">
        <v>1</v>
      </c>
      <c r="I745" s="1" t="s">
        <v>21</v>
      </c>
      <c r="J745" s="1" t="s">
        <v>32</v>
      </c>
      <c r="K745" s="1" t="s">
        <v>419</v>
      </c>
      <c r="L745" s="1" t="s">
        <v>417</v>
      </c>
      <c r="M745" s="1" t="s">
        <v>128</v>
      </c>
      <c r="N745" s="31">
        <v>3</v>
      </c>
      <c r="O745" s="31">
        <v>2</v>
      </c>
      <c r="P745" s="32">
        <v>2010</v>
      </c>
    </row>
    <row r="746" spans="1:16" x14ac:dyDescent="0.25">
      <c r="A746" s="1" t="s">
        <v>424</v>
      </c>
      <c r="B746" s="31">
        <v>77.099999999999994</v>
      </c>
      <c r="C746" s="1" t="s">
        <v>20</v>
      </c>
      <c r="D746" s="2">
        <v>42705</v>
      </c>
      <c r="E746" s="2">
        <v>42705</v>
      </c>
      <c r="F746" s="17">
        <v>2340000</v>
      </c>
      <c r="G746" s="17">
        <v>30350.19</v>
      </c>
      <c r="H746" s="31">
        <v>1</v>
      </c>
      <c r="I746" s="1" t="s">
        <v>21</v>
      </c>
      <c r="J746" s="1" t="s">
        <v>32</v>
      </c>
      <c r="K746" s="1" t="s">
        <v>419</v>
      </c>
      <c r="L746" s="1" t="s">
        <v>417</v>
      </c>
      <c r="M746" s="1" t="s">
        <v>183</v>
      </c>
      <c r="N746" s="31">
        <v>4</v>
      </c>
      <c r="O746" s="31">
        <v>2</v>
      </c>
      <c r="P746" s="32">
        <v>2002</v>
      </c>
    </row>
    <row r="747" spans="1:16" x14ac:dyDescent="0.25">
      <c r="A747" s="1" t="s">
        <v>424</v>
      </c>
      <c r="B747" s="31">
        <v>77.099999999999994</v>
      </c>
      <c r="C747" s="1" t="s">
        <v>20</v>
      </c>
      <c r="D747" s="2">
        <v>42705</v>
      </c>
      <c r="E747" s="2">
        <v>42705</v>
      </c>
      <c r="F747" s="17">
        <v>2340000</v>
      </c>
      <c r="G747" s="17">
        <v>30350.19</v>
      </c>
      <c r="H747" s="31">
        <v>1</v>
      </c>
      <c r="I747" s="1" t="s">
        <v>21</v>
      </c>
      <c r="J747" s="1" t="s">
        <v>32</v>
      </c>
      <c r="K747" s="1" t="s">
        <v>419</v>
      </c>
      <c r="L747" s="1" t="s">
        <v>417</v>
      </c>
      <c r="M747" s="1" t="s">
        <v>183</v>
      </c>
      <c r="N747" s="31">
        <v>4</v>
      </c>
      <c r="O747" s="31">
        <v>2</v>
      </c>
      <c r="P747" s="32">
        <v>2002</v>
      </c>
    </row>
    <row r="748" spans="1:16" x14ac:dyDescent="0.25">
      <c r="A748" s="1" t="s">
        <v>418</v>
      </c>
      <c r="B748" s="31">
        <v>52.1</v>
      </c>
      <c r="C748" s="1" t="s">
        <v>20</v>
      </c>
      <c r="D748" s="2">
        <v>42675</v>
      </c>
      <c r="E748" s="2">
        <v>42705</v>
      </c>
      <c r="F748" s="17">
        <v>1600000</v>
      </c>
      <c r="G748" s="17">
        <v>30710.17</v>
      </c>
      <c r="H748" s="31">
        <v>1</v>
      </c>
      <c r="I748" s="1" t="s">
        <v>21</v>
      </c>
      <c r="J748" s="1" t="s">
        <v>32</v>
      </c>
      <c r="K748" s="1" t="s">
        <v>419</v>
      </c>
      <c r="L748" s="1" t="s">
        <v>417</v>
      </c>
      <c r="M748" s="1" t="s">
        <v>183</v>
      </c>
      <c r="N748" s="31">
        <v>3</v>
      </c>
      <c r="O748" s="31">
        <v>1</v>
      </c>
      <c r="P748" s="32">
        <v>2013</v>
      </c>
    </row>
    <row r="749" spans="1:16" x14ac:dyDescent="0.25">
      <c r="A749" s="1" t="s">
        <v>425</v>
      </c>
      <c r="B749" s="31">
        <v>58</v>
      </c>
      <c r="C749" s="1" t="s">
        <v>20</v>
      </c>
      <c r="D749" s="2">
        <v>42767</v>
      </c>
      <c r="E749" s="2">
        <v>42767</v>
      </c>
      <c r="F749" s="17">
        <v>1785000</v>
      </c>
      <c r="G749" s="17">
        <v>30775.86</v>
      </c>
      <c r="H749" s="31">
        <v>1</v>
      </c>
      <c r="I749" s="1" t="s">
        <v>21</v>
      </c>
      <c r="J749" s="1" t="s">
        <v>22</v>
      </c>
      <c r="K749" s="1" t="s">
        <v>419</v>
      </c>
      <c r="L749" s="1" t="s">
        <v>417</v>
      </c>
      <c r="M749" s="1" t="s">
        <v>429</v>
      </c>
      <c r="N749" s="31">
        <v>4</v>
      </c>
      <c r="O749" s="31">
        <v>2</v>
      </c>
      <c r="P749" s="32">
        <v>2017</v>
      </c>
    </row>
    <row r="750" spans="1:16" x14ac:dyDescent="0.25">
      <c r="A750" s="1" t="s">
        <v>425</v>
      </c>
      <c r="B750" s="31">
        <v>58</v>
      </c>
      <c r="C750" s="1" t="s">
        <v>20</v>
      </c>
      <c r="D750" s="2">
        <v>42767</v>
      </c>
      <c r="E750" s="2">
        <v>42767</v>
      </c>
      <c r="F750" s="17">
        <v>1785000</v>
      </c>
      <c r="G750" s="17">
        <v>30775.86</v>
      </c>
      <c r="H750" s="31">
        <v>1</v>
      </c>
      <c r="I750" s="1" t="s">
        <v>21</v>
      </c>
      <c r="J750" s="1" t="s">
        <v>22</v>
      </c>
      <c r="K750" s="1" t="s">
        <v>419</v>
      </c>
      <c r="L750" s="1" t="s">
        <v>417</v>
      </c>
      <c r="M750" s="1" t="s">
        <v>429</v>
      </c>
      <c r="N750" s="31">
        <v>4</v>
      </c>
      <c r="O750" s="31">
        <v>2</v>
      </c>
      <c r="P750" s="32">
        <v>2017</v>
      </c>
    </row>
    <row r="751" spans="1:16" x14ac:dyDescent="0.25">
      <c r="A751" s="1" t="s">
        <v>424</v>
      </c>
      <c r="B751" s="31">
        <v>33.700000000000003</v>
      </c>
      <c r="C751" s="1" t="s">
        <v>20</v>
      </c>
      <c r="D751" s="2">
        <v>42736</v>
      </c>
      <c r="E751" s="2">
        <v>42736</v>
      </c>
      <c r="F751" s="17">
        <v>1040000</v>
      </c>
      <c r="G751" s="17">
        <v>30860.53</v>
      </c>
      <c r="H751" s="31">
        <v>1</v>
      </c>
      <c r="I751" s="1" t="s">
        <v>21</v>
      </c>
      <c r="J751" s="1" t="s">
        <v>32</v>
      </c>
      <c r="K751" s="1" t="s">
        <v>419</v>
      </c>
      <c r="L751" s="1" t="s">
        <v>417</v>
      </c>
      <c r="M751" s="1"/>
      <c r="N751" s="31">
        <v>3</v>
      </c>
      <c r="O751" s="31">
        <v>1</v>
      </c>
      <c r="P751" s="32">
        <v>2009</v>
      </c>
    </row>
    <row r="752" spans="1:16" x14ac:dyDescent="0.25">
      <c r="A752" s="1" t="s">
        <v>423</v>
      </c>
      <c r="B752" s="31">
        <v>29.7</v>
      </c>
      <c r="C752" s="1" t="s">
        <v>20</v>
      </c>
      <c r="D752" s="2">
        <v>42705</v>
      </c>
      <c r="E752" s="2">
        <v>42705</v>
      </c>
      <c r="F752" s="17">
        <v>920000</v>
      </c>
      <c r="G752" s="17">
        <v>30976.43</v>
      </c>
      <c r="H752" s="31">
        <v>1</v>
      </c>
      <c r="I752" s="1" t="s">
        <v>21</v>
      </c>
      <c r="J752" s="1" t="s">
        <v>32</v>
      </c>
      <c r="K752" s="1" t="s">
        <v>419</v>
      </c>
      <c r="L752" s="1" t="s">
        <v>417</v>
      </c>
      <c r="M752" s="1" t="s">
        <v>157</v>
      </c>
      <c r="N752" s="31">
        <v>4</v>
      </c>
      <c r="O752" s="31">
        <v>1</v>
      </c>
      <c r="P752" s="32">
        <v>2000</v>
      </c>
    </row>
    <row r="753" spans="1:16" x14ac:dyDescent="0.25">
      <c r="A753" s="1" t="s">
        <v>423</v>
      </c>
      <c r="B753" s="31">
        <v>50</v>
      </c>
      <c r="C753" s="1" t="s">
        <v>20</v>
      </c>
      <c r="D753" s="2">
        <v>42705</v>
      </c>
      <c r="E753" s="2">
        <v>42705</v>
      </c>
      <c r="F753" s="17">
        <v>1550000</v>
      </c>
      <c r="G753" s="17">
        <v>31000</v>
      </c>
      <c r="H753" s="31">
        <v>1</v>
      </c>
      <c r="I753" s="1" t="s">
        <v>21</v>
      </c>
      <c r="J753" s="1" t="s">
        <v>32</v>
      </c>
      <c r="K753" s="1" t="s">
        <v>419</v>
      </c>
      <c r="L753" s="1" t="s">
        <v>417</v>
      </c>
      <c r="M753" s="1" t="s">
        <v>427</v>
      </c>
      <c r="N753" s="31">
        <v>6</v>
      </c>
      <c r="O753" s="31">
        <v>2</v>
      </c>
      <c r="P753" s="32">
        <v>2005</v>
      </c>
    </row>
    <row r="754" spans="1:16" x14ac:dyDescent="0.25">
      <c r="A754" s="1" t="s">
        <v>423</v>
      </c>
      <c r="B754" s="31">
        <v>50</v>
      </c>
      <c r="C754" s="1" t="s">
        <v>20</v>
      </c>
      <c r="D754" s="2">
        <v>42705</v>
      </c>
      <c r="E754" s="2">
        <v>42705</v>
      </c>
      <c r="F754" s="17">
        <v>1550000</v>
      </c>
      <c r="G754" s="17">
        <v>31000</v>
      </c>
      <c r="H754" s="31">
        <v>1</v>
      </c>
      <c r="I754" s="1" t="s">
        <v>21</v>
      </c>
      <c r="J754" s="1" t="s">
        <v>32</v>
      </c>
      <c r="K754" s="1" t="s">
        <v>419</v>
      </c>
      <c r="L754" s="1" t="s">
        <v>417</v>
      </c>
      <c r="M754" s="1" t="s">
        <v>427</v>
      </c>
      <c r="N754" s="31">
        <v>6</v>
      </c>
      <c r="O754" s="31">
        <v>2</v>
      </c>
      <c r="P754" s="32">
        <v>2005</v>
      </c>
    </row>
    <row r="755" spans="1:16" x14ac:dyDescent="0.25">
      <c r="A755" s="1" t="s">
        <v>424</v>
      </c>
      <c r="B755" s="31">
        <v>32.1</v>
      </c>
      <c r="C755" s="1" t="s">
        <v>20</v>
      </c>
      <c r="D755" s="2">
        <v>42705</v>
      </c>
      <c r="E755" s="2">
        <v>42705</v>
      </c>
      <c r="F755" s="17">
        <v>1000000</v>
      </c>
      <c r="G755" s="17">
        <v>31152.65</v>
      </c>
      <c r="H755" s="31">
        <v>1</v>
      </c>
      <c r="I755" s="1" t="s">
        <v>21</v>
      </c>
      <c r="J755" s="1" t="s">
        <v>32</v>
      </c>
      <c r="K755" s="1" t="s">
        <v>419</v>
      </c>
      <c r="L755" s="1" t="s">
        <v>417</v>
      </c>
      <c r="M755" s="1" t="s">
        <v>128</v>
      </c>
      <c r="N755" s="31">
        <v>4</v>
      </c>
      <c r="O755" s="31">
        <v>1</v>
      </c>
      <c r="P755" s="32">
        <v>2015</v>
      </c>
    </row>
    <row r="756" spans="1:16" x14ac:dyDescent="0.25">
      <c r="A756" s="1" t="s">
        <v>425</v>
      </c>
      <c r="B756" s="31">
        <v>57.7</v>
      </c>
      <c r="C756" s="1" t="s">
        <v>20</v>
      </c>
      <c r="D756" s="2">
        <v>42795</v>
      </c>
      <c r="E756" s="2">
        <v>42795</v>
      </c>
      <c r="F756" s="17">
        <v>1800000</v>
      </c>
      <c r="G756" s="17">
        <v>31195.84</v>
      </c>
      <c r="H756" s="31">
        <v>1</v>
      </c>
      <c r="I756" s="1" t="s">
        <v>21</v>
      </c>
      <c r="J756" s="1" t="s">
        <v>32</v>
      </c>
      <c r="K756" s="1" t="s">
        <v>419</v>
      </c>
      <c r="L756" s="1" t="s">
        <v>417</v>
      </c>
      <c r="M756" s="1"/>
      <c r="N756" s="31">
        <v>5</v>
      </c>
      <c r="O756" s="31">
        <v>2</v>
      </c>
      <c r="P756" s="32">
        <v>2002</v>
      </c>
    </row>
    <row r="757" spans="1:16" x14ac:dyDescent="0.25">
      <c r="A757" s="1" t="s">
        <v>425</v>
      </c>
      <c r="B757" s="31">
        <v>57.7</v>
      </c>
      <c r="C757" s="1" t="s">
        <v>20</v>
      </c>
      <c r="D757" s="2">
        <v>42795</v>
      </c>
      <c r="E757" s="2">
        <v>42795</v>
      </c>
      <c r="F757" s="17">
        <v>1800000</v>
      </c>
      <c r="G757" s="17">
        <v>31195.84</v>
      </c>
      <c r="H757" s="31">
        <v>1</v>
      </c>
      <c r="I757" s="1" t="s">
        <v>21</v>
      </c>
      <c r="J757" s="1" t="s">
        <v>32</v>
      </c>
      <c r="K757" s="1" t="s">
        <v>419</v>
      </c>
      <c r="L757" s="1" t="s">
        <v>417</v>
      </c>
      <c r="M757" s="1"/>
      <c r="N757" s="31">
        <v>5</v>
      </c>
      <c r="O757" s="31">
        <v>2</v>
      </c>
      <c r="P757" s="32">
        <v>2002</v>
      </c>
    </row>
    <row r="758" spans="1:16" x14ac:dyDescent="0.25">
      <c r="A758" s="1" t="s">
        <v>420</v>
      </c>
      <c r="B758" s="31">
        <v>60.9</v>
      </c>
      <c r="C758" s="1" t="s">
        <v>20</v>
      </c>
      <c r="D758" s="2">
        <v>42675</v>
      </c>
      <c r="E758" s="2">
        <v>42675</v>
      </c>
      <c r="F758" s="17">
        <v>1900000</v>
      </c>
      <c r="G758" s="17">
        <v>31198.69</v>
      </c>
      <c r="H758" s="31">
        <v>1</v>
      </c>
      <c r="I758" s="1" t="s">
        <v>21</v>
      </c>
      <c r="J758" s="1" t="s">
        <v>32</v>
      </c>
      <c r="K758" s="1" t="s">
        <v>419</v>
      </c>
      <c r="L758" s="1" t="s">
        <v>417</v>
      </c>
      <c r="M758" s="1"/>
      <c r="N758" s="31">
        <v>3</v>
      </c>
      <c r="O758" s="31">
        <v>1</v>
      </c>
      <c r="P758" s="32">
        <v>2015</v>
      </c>
    </row>
    <row r="759" spans="1:16" x14ac:dyDescent="0.25">
      <c r="A759" s="1" t="s">
        <v>424</v>
      </c>
      <c r="B759" s="31">
        <v>29.5</v>
      </c>
      <c r="C759" s="1" t="s">
        <v>20</v>
      </c>
      <c r="D759" s="2">
        <v>42795</v>
      </c>
      <c r="E759" s="2">
        <v>42795</v>
      </c>
      <c r="F759" s="17">
        <v>947000</v>
      </c>
      <c r="G759" s="17">
        <v>32101.69</v>
      </c>
      <c r="H759" s="31">
        <v>1</v>
      </c>
      <c r="I759" s="1" t="s">
        <v>21</v>
      </c>
      <c r="J759" s="1" t="s">
        <v>18</v>
      </c>
      <c r="K759" s="1" t="s">
        <v>419</v>
      </c>
      <c r="L759" s="1" t="s">
        <v>417</v>
      </c>
      <c r="M759" s="1" t="s">
        <v>128</v>
      </c>
      <c r="N759" s="31">
        <v>1</v>
      </c>
      <c r="O759" s="31">
        <v>1</v>
      </c>
      <c r="P759" s="32">
        <v>2002</v>
      </c>
    </row>
    <row r="760" spans="1:16" x14ac:dyDescent="0.25">
      <c r="A760" s="1" t="s">
        <v>418</v>
      </c>
      <c r="B760" s="31">
        <v>35.799999999999997</v>
      </c>
      <c r="C760" s="1" t="s">
        <v>20</v>
      </c>
      <c r="D760" s="2">
        <v>42736</v>
      </c>
      <c r="E760" s="2">
        <v>42736</v>
      </c>
      <c r="F760" s="17">
        <v>1150000</v>
      </c>
      <c r="G760" s="17">
        <v>32122.91</v>
      </c>
      <c r="H760" s="31">
        <v>1</v>
      </c>
      <c r="I760" s="1" t="s">
        <v>21</v>
      </c>
      <c r="J760" s="1" t="s">
        <v>32</v>
      </c>
      <c r="K760" s="1" t="s">
        <v>419</v>
      </c>
      <c r="L760" s="1" t="s">
        <v>417</v>
      </c>
      <c r="M760" s="1" t="s">
        <v>62</v>
      </c>
      <c r="N760" s="31">
        <v>1</v>
      </c>
      <c r="O760" s="31">
        <v>1</v>
      </c>
      <c r="P760" s="32">
        <v>2002</v>
      </c>
    </row>
    <row r="761" spans="1:16" x14ac:dyDescent="0.25">
      <c r="A761" s="1" t="s">
        <v>425</v>
      </c>
      <c r="B761" s="31">
        <v>57</v>
      </c>
      <c r="C761" s="1" t="s">
        <v>20</v>
      </c>
      <c r="D761" s="2">
        <v>42736</v>
      </c>
      <c r="E761" s="2">
        <v>42767</v>
      </c>
      <c r="F761" s="17">
        <v>1844000</v>
      </c>
      <c r="G761" s="17">
        <v>32350.880000000001</v>
      </c>
      <c r="H761" s="31">
        <v>1</v>
      </c>
      <c r="I761" s="1" t="s">
        <v>21</v>
      </c>
      <c r="J761" s="1" t="s">
        <v>32</v>
      </c>
      <c r="K761" s="1" t="s">
        <v>419</v>
      </c>
      <c r="L761" s="1" t="s">
        <v>417</v>
      </c>
      <c r="M761" s="1" t="s">
        <v>426</v>
      </c>
      <c r="N761" s="31">
        <v>5</v>
      </c>
      <c r="O761" s="31">
        <v>1</v>
      </c>
      <c r="P761" s="32">
        <v>2010</v>
      </c>
    </row>
    <row r="762" spans="1:16" x14ac:dyDescent="0.25">
      <c r="A762" s="1" t="s">
        <v>425</v>
      </c>
      <c r="B762" s="31">
        <v>29.6</v>
      </c>
      <c r="C762" s="1" t="s">
        <v>20</v>
      </c>
      <c r="D762" s="2">
        <v>42675</v>
      </c>
      <c r="E762" s="2">
        <v>42675</v>
      </c>
      <c r="F762" s="17">
        <v>960000</v>
      </c>
      <c r="G762" s="17">
        <v>32432.43</v>
      </c>
      <c r="H762" s="31">
        <v>1</v>
      </c>
      <c r="I762" s="1" t="s">
        <v>21</v>
      </c>
      <c r="J762" s="1" t="s">
        <v>32</v>
      </c>
      <c r="K762" s="1" t="s">
        <v>419</v>
      </c>
      <c r="L762" s="1" t="s">
        <v>417</v>
      </c>
      <c r="M762" s="1" t="s">
        <v>429</v>
      </c>
      <c r="N762" s="31">
        <v>3</v>
      </c>
      <c r="O762" s="31">
        <v>1</v>
      </c>
      <c r="P762" s="32">
        <v>2006</v>
      </c>
    </row>
    <row r="763" spans="1:16" x14ac:dyDescent="0.25">
      <c r="A763" s="1" t="s">
        <v>421</v>
      </c>
      <c r="B763" s="31">
        <v>35.299999999999997</v>
      </c>
      <c r="C763" s="1" t="s">
        <v>20</v>
      </c>
      <c r="D763" s="2">
        <v>42736</v>
      </c>
      <c r="E763" s="2">
        <v>42736</v>
      </c>
      <c r="F763" s="17">
        <v>1166471</v>
      </c>
      <c r="G763" s="17">
        <v>33044.5</v>
      </c>
      <c r="H763" s="31">
        <v>1</v>
      </c>
      <c r="I763" s="1" t="s">
        <v>21</v>
      </c>
      <c r="J763" s="1" t="s">
        <v>32</v>
      </c>
      <c r="K763" s="1" t="s">
        <v>419</v>
      </c>
      <c r="L763" s="1" t="s">
        <v>417</v>
      </c>
      <c r="M763" s="1" t="s">
        <v>422</v>
      </c>
      <c r="N763" s="31">
        <v>1</v>
      </c>
      <c r="O763" s="31">
        <v>1</v>
      </c>
      <c r="P763" s="32">
        <v>2014</v>
      </c>
    </row>
    <row r="764" spans="1:16" x14ac:dyDescent="0.25">
      <c r="A764" s="1" t="s">
        <v>424</v>
      </c>
      <c r="B764" s="31">
        <v>58.7</v>
      </c>
      <c r="C764" s="1" t="s">
        <v>20</v>
      </c>
      <c r="D764" s="2">
        <v>42705</v>
      </c>
      <c r="E764" s="2">
        <v>42705</v>
      </c>
      <c r="F764" s="17">
        <v>1960000</v>
      </c>
      <c r="G764" s="17">
        <v>33390.120000000003</v>
      </c>
      <c r="H764" s="31">
        <v>1</v>
      </c>
      <c r="I764" s="1" t="s">
        <v>21</v>
      </c>
      <c r="J764" s="1" t="s">
        <v>32</v>
      </c>
      <c r="K764" s="1" t="s">
        <v>419</v>
      </c>
      <c r="L764" s="1" t="s">
        <v>417</v>
      </c>
      <c r="M764" s="1" t="s">
        <v>183</v>
      </c>
      <c r="N764" s="31">
        <v>5</v>
      </c>
      <c r="O764" s="31">
        <v>2</v>
      </c>
      <c r="P764" s="32">
        <v>2004</v>
      </c>
    </row>
    <row r="765" spans="1:16" x14ac:dyDescent="0.25">
      <c r="A765" s="1" t="s">
        <v>424</v>
      </c>
      <c r="B765" s="31">
        <v>58.7</v>
      </c>
      <c r="C765" s="1" t="s">
        <v>20</v>
      </c>
      <c r="D765" s="2">
        <v>42705</v>
      </c>
      <c r="E765" s="2">
        <v>42705</v>
      </c>
      <c r="F765" s="17">
        <v>1960000</v>
      </c>
      <c r="G765" s="17">
        <v>33390.120000000003</v>
      </c>
      <c r="H765" s="31">
        <v>1</v>
      </c>
      <c r="I765" s="1" t="s">
        <v>21</v>
      </c>
      <c r="J765" s="1" t="s">
        <v>32</v>
      </c>
      <c r="K765" s="1" t="s">
        <v>419</v>
      </c>
      <c r="L765" s="1" t="s">
        <v>417</v>
      </c>
      <c r="M765" s="1" t="s">
        <v>183</v>
      </c>
      <c r="N765" s="31">
        <v>5</v>
      </c>
      <c r="O765" s="31">
        <v>2</v>
      </c>
      <c r="P765" s="32">
        <v>2004</v>
      </c>
    </row>
    <row r="766" spans="1:16" x14ac:dyDescent="0.25">
      <c r="A766" s="1" t="s">
        <v>424</v>
      </c>
      <c r="B766" s="31">
        <v>33.5</v>
      </c>
      <c r="C766" s="1" t="s">
        <v>20</v>
      </c>
      <c r="D766" s="2">
        <v>42705</v>
      </c>
      <c r="E766" s="2">
        <v>42705</v>
      </c>
      <c r="F766" s="17">
        <v>1120000</v>
      </c>
      <c r="G766" s="17">
        <v>33432.839999999997</v>
      </c>
      <c r="H766" s="31">
        <v>1</v>
      </c>
      <c r="I766" s="1" t="s">
        <v>21</v>
      </c>
      <c r="J766" s="1" t="s">
        <v>64</v>
      </c>
      <c r="K766" s="1" t="s">
        <v>419</v>
      </c>
      <c r="L766" s="1" t="s">
        <v>417</v>
      </c>
      <c r="M766" s="1" t="s">
        <v>128</v>
      </c>
      <c r="N766" s="31">
        <v>5</v>
      </c>
      <c r="O766" s="31">
        <v>2</v>
      </c>
      <c r="P766" s="32">
        <v>2001</v>
      </c>
    </row>
    <row r="767" spans="1:16" x14ac:dyDescent="0.25">
      <c r="A767" s="1" t="s">
        <v>424</v>
      </c>
      <c r="B767" s="31">
        <v>33.5</v>
      </c>
      <c r="C767" s="1" t="s">
        <v>20</v>
      </c>
      <c r="D767" s="2">
        <v>42705</v>
      </c>
      <c r="E767" s="2">
        <v>42705</v>
      </c>
      <c r="F767" s="17">
        <v>1120000</v>
      </c>
      <c r="G767" s="17">
        <v>33432.839999999997</v>
      </c>
      <c r="H767" s="31">
        <v>1</v>
      </c>
      <c r="I767" s="1" t="s">
        <v>21</v>
      </c>
      <c r="J767" s="1" t="s">
        <v>64</v>
      </c>
      <c r="K767" s="1" t="s">
        <v>419</v>
      </c>
      <c r="L767" s="1" t="s">
        <v>417</v>
      </c>
      <c r="M767" s="1" t="s">
        <v>128</v>
      </c>
      <c r="N767" s="31">
        <v>5</v>
      </c>
      <c r="O767" s="31">
        <v>2</v>
      </c>
      <c r="P767" s="32">
        <v>2001</v>
      </c>
    </row>
    <row r="768" spans="1:16" x14ac:dyDescent="0.25">
      <c r="A768" s="1" t="s">
        <v>424</v>
      </c>
      <c r="B768" s="31">
        <v>50.8</v>
      </c>
      <c r="C768" s="1" t="s">
        <v>20</v>
      </c>
      <c r="D768" s="2">
        <v>42705</v>
      </c>
      <c r="E768" s="2">
        <v>42705</v>
      </c>
      <c r="F768" s="17">
        <v>1700000</v>
      </c>
      <c r="G768" s="17">
        <v>33464.57</v>
      </c>
      <c r="H768" s="31">
        <v>1</v>
      </c>
      <c r="I768" s="1" t="s">
        <v>21</v>
      </c>
      <c r="J768" s="1" t="s">
        <v>64</v>
      </c>
      <c r="K768" s="1" t="s">
        <v>419</v>
      </c>
      <c r="L768" s="1" t="s">
        <v>417</v>
      </c>
      <c r="M768" s="1" t="s">
        <v>128</v>
      </c>
      <c r="N768" s="31">
        <v>2</v>
      </c>
      <c r="O768" s="31">
        <v>1</v>
      </c>
      <c r="P768" s="32">
        <v>2014</v>
      </c>
    </row>
    <row r="769" spans="1:16" x14ac:dyDescent="0.25">
      <c r="A769" s="1" t="s">
        <v>423</v>
      </c>
      <c r="B769" s="31">
        <v>44.4</v>
      </c>
      <c r="C769" s="1" t="s">
        <v>20</v>
      </c>
      <c r="D769" s="2">
        <v>42795</v>
      </c>
      <c r="E769" s="2">
        <v>42795</v>
      </c>
      <c r="F769" s="17">
        <v>1500000</v>
      </c>
      <c r="G769" s="17">
        <v>33783.78</v>
      </c>
      <c r="H769" s="31">
        <v>1</v>
      </c>
      <c r="I769" s="1" t="s">
        <v>21</v>
      </c>
      <c r="J769" s="1" t="s">
        <v>32</v>
      </c>
      <c r="K769" s="1" t="s">
        <v>419</v>
      </c>
      <c r="L769" s="1" t="s">
        <v>417</v>
      </c>
      <c r="M769" s="1" t="s">
        <v>128</v>
      </c>
      <c r="N769" s="31">
        <v>4</v>
      </c>
      <c r="O769" s="31">
        <v>1</v>
      </c>
      <c r="P769" s="32">
        <v>2007</v>
      </c>
    </row>
    <row r="770" spans="1:16" x14ac:dyDescent="0.25">
      <c r="A770" s="1" t="s">
        <v>423</v>
      </c>
      <c r="B770" s="31">
        <v>41.3</v>
      </c>
      <c r="C770" s="1" t="s">
        <v>20</v>
      </c>
      <c r="D770" s="2">
        <v>42705</v>
      </c>
      <c r="E770" s="2">
        <v>42736</v>
      </c>
      <c r="F770" s="17">
        <v>1400000</v>
      </c>
      <c r="G770" s="17">
        <v>33898.31</v>
      </c>
      <c r="H770" s="31">
        <v>1</v>
      </c>
      <c r="I770" s="1" t="s">
        <v>21</v>
      </c>
      <c r="J770" s="1" t="s">
        <v>32</v>
      </c>
      <c r="K770" s="1" t="s">
        <v>419</v>
      </c>
      <c r="L770" s="1" t="s">
        <v>417</v>
      </c>
      <c r="M770" s="1" t="s">
        <v>427</v>
      </c>
      <c r="N770" s="31">
        <v>1</v>
      </c>
      <c r="O770" s="31">
        <v>1</v>
      </c>
      <c r="P770" s="32">
        <v>2012</v>
      </c>
    </row>
    <row r="771" spans="1:16" x14ac:dyDescent="0.25">
      <c r="A771" s="1" t="s">
        <v>425</v>
      </c>
      <c r="B771" s="31">
        <v>27.9</v>
      </c>
      <c r="C771" s="1" t="s">
        <v>20</v>
      </c>
      <c r="D771" s="2">
        <v>42705</v>
      </c>
      <c r="E771" s="2">
        <v>42705</v>
      </c>
      <c r="F771" s="17">
        <v>952000</v>
      </c>
      <c r="G771" s="17">
        <v>34121.86</v>
      </c>
      <c r="H771" s="31">
        <v>1</v>
      </c>
      <c r="I771" s="1" t="s">
        <v>21</v>
      </c>
      <c r="J771" s="1" t="s">
        <v>18</v>
      </c>
      <c r="K771" s="1" t="s">
        <v>419</v>
      </c>
      <c r="L771" s="1" t="s">
        <v>417</v>
      </c>
      <c r="M771" s="1" t="s">
        <v>429</v>
      </c>
      <c r="N771" s="31">
        <v>1</v>
      </c>
      <c r="O771" s="31">
        <v>1</v>
      </c>
      <c r="P771" s="32">
        <v>2016</v>
      </c>
    </row>
    <row r="772" spans="1:16" x14ac:dyDescent="0.25">
      <c r="A772" s="1" t="s">
        <v>424</v>
      </c>
      <c r="B772" s="31">
        <v>35.1</v>
      </c>
      <c r="C772" s="1" t="s">
        <v>20</v>
      </c>
      <c r="D772" s="2">
        <v>42795</v>
      </c>
      <c r="E772" s="2">
        <v>42795</v>
      </c>
      <c r="F772" s="17">
        <v>1200000</v>
      </c>
      <c r="G772" s="17">
        <v>34188.03</v>
      </c>
      <c r="H772" s="31">
        <v>1</v>
      </c>
      <c r="I772" s="1" t="s">
        <v>21</v>
      </c>
      <c r="J772" s="1" t="s">
        <v>32</v>
      </c>
      <c r="K772" s="1" t="s">
        <v>419</v>
      </c>
      <c r="L772" s="1" t="s">
        <v>417</v>
      </c>
      <c r="M772" s="1" t="s">
        <v>128</v>
      </c>
      <c r="N772" s="31">
        <v>4</v>
      </c>
      <c r="O772" s="31">
        <v>1</v>
      </c>
      <c r="P772" s="32">
        <v>2008</v>
      </c>
    </row>
    <row r="773" spans="1:16" x14ac:dyDescent="0.25">
      <c r="A773" s="1" t="s">
        <v>421</v>
      </c>
      <c r="B773" s="31">
        <v>46.6</v>
      </c>
      <c r="C773" s="1" t="s">
        <v>20</v>
      </c>
      <c r="D773" s="2">
        <v>42705</v>
      </c>
      <c r="E773" s="2">
        <v>42705</v>
      </c>
      <c r="F773" s="17">
        <v>1600000</v>
      </c>
      <c r="G773" s="17">
        <v>34334.76</v>
      </c>
      <c r="H773" s="31">
        <v>1</v>
      </c>
      <c r="I773" s="1" t="s">
        <v>21</v>
      </c>
      <c r="J773" s="1" t="s">
        <v>32</v>
      </c>
      <c r="K773" s="1" t="s">
        <v>419</v>
      </c>
      <c r="L773" s="1" t="s">
        <v>417</v>
      </c>
      <c r="M773" s="1" t="s">
        <v>431</v>
      </c>
      <c r="N773" s="31">
        <v>4</v>
      </c>
      <c r="O773" s="31">
        <v>1</v>
      </c>
      <c r="P773" s="32">
        <v>2002</v>
      </c>
    </row>
    <row r="774" spans="1:16" x14ac:dyDescent="0.25">
      <c r="A774" s="1" t="s">
        <v>424</v>
      </c>
      <c r="B774" s="31">
        <v>58</v>
      </c>
      <c r="C774" s="1" t="s">
        <v>20</v>
      </c>
      <c r="D774" s="2">
        <v>42767</v>
      </c>
      <c r="E774" s="2">
        <v>42767</v>
      </c>
      <c r="F774" s="17">
        <v>2000000</v>
      </c>
      <c r="G774" s="17">
        <v>34482.76</v>
      </c>
      <c r="H774" s="31">
        <v>1</v>
      </c>
      <c r="I774" s="1" t="s">
        <v>21</v>
      </c>
      <c r="J774" s="1" t="s">
        <v>32</v>
      </c>
      <c r="K774" s="1" t="s">
        <v>419</v>
      </c>
      <c r="L774" s="1" t="s">
        <v>417</v>
      </c>
      <c r="M774" s="1" t="s">
        <v>128</v>
      </c>
      <c r="N774" s="31">
        <v>4</v>
      </c>
      <c r="O774" s="31">
        <v>1</v>
      </c>
      <c r="P774" s="32">
        <v>2001</v>
      </c>
    </row>
    <row r="775" spans="1:16" x14ac:dyDescent="0.25">
      <c r="A775" s="1" t="s">
        <v>424</v>
      </c>
      <c r="B775" s="31">
        <v>33.4</v>
      </c>
      <c r="C775" s="1" t="s">
        <v>20</v>
      </c>
      <c r="D775" s="2">
        <v>42644</v>
      </c>
      <c r="E775" s="2">
        <v>42675</v>
      </c>
      <c r="F775" s="17">
        <v>1160000</v>
      </c>
      <c r="G775" s="17">
        <v>34730.54</v>
      </c>
      <c r="H775" s="31">
        <v>1</v>
      </c>
      <c r="I775" s="1" t="s">
        <v>21</v>
      </c>
      <c r="J775" s="1" t="s">
        <v>32</v>
      </c>
      <c r="K775" s="1" t="s">
        <v>419</v>
      </c>
      <c r="L775" s="1" t="s">
        <v>417</v>
      </c>
      <c r="M775" s="1"/>
      <c r="N775" s="31">
        <v>2</v>
      </c>
      <c r="O775" s="31">
        <v>1</v>
      </c>
      <c r="P775" s="32">
        <v>2009</v>
      </c>
    </row>
    <row r="776" spans="1:16" x14ac:dyDescent="0.25">
      <c r="A776" s="1" t="s">
        <v>425</v>
      </c>
      <c r="B776" s="31">
        <v>31.6</v>
      </c>
      <c r="C776" s="1" t="s">
        <v>20</v>
      </c>
      <c r="D776" s="2">
        <v>42736</v>
      </c>
      <c r="E776" s="2">
        <v>42736</v>
      </c>
      <c r="F776" s="17">
        <v>1112000</v>
      </c>
      <c r="G776" s="17">
        <v>35189.870000000003</v>
      </c>
      <c r="H776" s="31">
        <v>1</v>
      </c>
      <c r="I776" s="1" t="s">
        <v>21</v>
      </c>
      <c r="J776" s="1" t="s">
        <v>32</v>
      </c>
      <c r="K776" s="1" t="s">
        <v>419</v>
      </c>
      <c r="L776" s="1" t="s">
        <v>417</v>
      </c>
      <c r="M776" s="1" t="s">
        <v>426</v>
      </c>
      <c r="N776" s="31">
        <v>3</v>
      </c>
      <c r="O776" s="31">
        <v>2</v>
      </c>
      <c r="P776" s="32">
        <v>2005</v>
      </c>
    </row>
    <row r="777" spans="1:16" x14ac:dyDescent="0.25">
      <c r="A777" s="1" t="s">
        <v>425</v>
      </c>
      <c r="B777" s="31">
        <v>31.6</v>
      </c>
      <c r="C777" s="1" t="s">
        <v>20</v>
      </c>
      <c r="D777" s="2">
        <v>42736</v>
      </c>
      <c r="E777" s="2">
        <v>42736</v>
      </c>
      <c r="F777" s="17">
        <v>1112000</v>
      </c>
      <c r="G777" s="17">
        <v>35189.870000000003</v>
      </c>
      <c r="H777" s="31">
        <v>1</v>
      </c>
      <c r="I777" s="1" t="s">
        <v>21</v>
      </c>
      <c r="J777" s="1" t="s">
        <v>32</v>
      </c>
      <c r="K777" s="1" t="s">
        <v>419</v>
      </c>
      <c r="L777" s="1" t="s">
        <v>417</v>
      </c>
      <c r="M777" s="1" t="s">
        <v>426</v>
      </c>
      <c r="N777" s="31">
        <v>3</v>
      </c>
      <c r="O777" s="31">
        <v>2</v>
      </c>
      <c r="P777" s="32">
        <v>2005</v>
      </c>
    </row>
    <row r="778" spans="1:16" x14ac:dyDescent="0.25">
      <c r="A778" s="1" t="s">
        <v>423</v>
      </c>
      <c r="B778" s="31">
        <v>48.2</v>
      </c>
      <c r="C778" s="1" t="s">
        <v>20</v>
      </c>
      <c r="D778" s="2">
        <v>42767</v>
      </c>
      <c r="E778" s="2">
        <v>42767</v>
      </c>
      <c r="F778" s="17">
        <v>1700000</v>
      </c>
      <c r="G778" s="17">
        <v>35269.71</v>
      </c>
      <c r="H778" s="31">
        <v>1</v>
      </c>
      <c r="I778" s="1" t="s">
        <v>21</v>
      </c>
      <c r="J778" s="1" t="s">
        <v>32</v>
      </c>
      <c r="K778" s="1" t="s">
        <v>419</v>
      </c>
      <c r="L778" s="1" t="s">
        <v>417</v>
      </c>
      <c r="M778" s="1" t="s">
        <v>128</v>
      </c>
      <c r="N778" s="31">
        <v>5</v>
      </c>
      <c r="O778" s="31">
        <v>1</v>
      </c>
      <c r="P778" s="32">
        <v>2007</v>
      </c>
    </row>
    <row r="779" spans="1:16" x14ac:dyDescent="0.25">
      <c r="A779" s="1" t="s">
        <v>425</v>
      </c>
      <c r="B779" s="31">
        <v>30.3</v>
      </c>
      <c r="C779" s="1" t="s">
        <v>20</v>
      </c>
      <c r="D779" s="2">
        <v>42736</v>
      </c>
      <c r="E779" s="2">
        <v>42736</v>
      </c>
      <c r="F779" s="17">
        <v>1080000</v>
      </c>
      <c r="G779" s="17">
        <v>35643.56</v>
      </c>
      <c r="H779" s="31">
        <v>1</v>
      </c>
      <c r="I779" s="1" t="s">
        <v>21</v>
      </c>
      <c r="J779" s="1" t="s">
        <v>32</v>
      </c>
      <c r="K779" s="1" t="s">
        <v>419</v>
      </c>
      <c r="L779" s="1" t="s">
        <v>417</v>
      </c>
      <c r="M779" s="1" t="s">
        <v>426</v>
      </c>
      <c r="N779" s="31">
        <v>5</v>
      </c>
      <c r="O779" s="31">
        <v>2</v>
      </c>
      <c r="P779" s="32">
        <v>2016</v>
      </c>
    </row>
    <row r="780" spans="1:16" x14ac:dyDescent="0.25">
      <c r="A780" s="1" t="s">
        <v>425</v>
      </c>
      <c r="B780" s="31">
        <v>30.3</v>
      </c>
      <c r="C780" s="1" t="s">
        <v>20</v>
      </c>
      <c r="D780" s="2">
        <v>42736</v>
      </c>
      <c r="E780" s="2">
        <v>42736</v>
      </c>
      <c r="F780" s="17">
        <v>1080000</v>
      </c>
      <c r="G780" s="17">
        <v>35643.56</v>
      </c>
      <c r="H780" s="31">
        <v>1</v>
      </c>
      <c r="I780" s="1" t="s">
        <v>21</v>
      </c>
      <c r="J780" s="1" t="s">
        <v>32</v>
      </c>
      <c r="K780" s="1" t="s">
        <v>419</v>
      </c>
      <c r="L780" s="1" t="s">
        <v>417</v>
      </c>
      <c r="M780" s="1" t="s">
        <v>426</v>
      </c>
      <c r="N780" s="31">
        <v>5</v>
      </c>
      <c r="O780" s="31">
        <v>2</v>
      </c>
      <c r="P780" s="32">
        <v>2016</v>
      </c>
    </row>
    <row r="781" spans="1:16" x14ac:dyDescent="0.25">
      <c r="A781" s="1" t="s">
        <v>418</v>
      </c>
      <c r="B781" s="31">
        <v>35.9</v>
      </c>
      <c r="C781" s="1" t="s">
        <v>20</v>
      </c>
      <c r="D781" s="2">
        <v>42705</v>
      </c>
      <c r="E781" s="2">
        <v>42705</v>
      </c>
      <c r="F781" s="17">
        <v>1300000</v>
      </c>
      <c r="G781" s="17">
        <v>36211.699999999997</v>
      </c>
      <c r="H781" s="31">
        <v>1</v>
      </c>
      <c r="I781" s="1" t="s">
        <v>21</v>
      </c>
      <c r="J781" s="1" t="s">
        <v>32</v>
      </c>
      <c r="K781" s="1" t="s">
        <v>419</v>
      </c>
      <c r="L781" s="1" t="s">
        <v>417</v>
      </c>
      <c r="M781" s="1" t="s">
        <v>62</v>
      </c>
      <c r="N781" s="31">
        <v>4</v>
      </c>
      <c r="O781" s="31">
        <v>1</v>
      </c>
      <c r="P781" s="32">
        <v>2013</v>
      </c>
    </row>
    <row r="782" spans="1:16" x14ac:dyDescent="0.25">
      <c r="A782" s="1" t="s">
        <v>423</v>
      </c>
      <c r="B782" s="31">
        <v>44</v>
      </c>
      <c r="C782" s="1" t="s">
        <v>20</v>
      </c>
      <c r="D782" s="2">
        <v>42705</v>
      </c>
      <c r="E782" s="2">
        <v>42705</v>
      </c>
      <c r="F782" s="17">
        <v>1600000</v>
      </c>
      <c r="G782" s="17">
        <v>36363.64</v>
      </c>
      <c r="H782" s="31">
        <v>1</v>
      </c>
      <c r="I782" s="1" t="s">
        <v>21</v>
      </c>
      <c r="J782" s="1" t="s">
        <v>32</v>
      </c>
      <c r="K782" s="1" t="s">
        <v>419</v>
      </c>
      <c r="L782" s="1" t="s">
        <v>417</v>
      </c>
      <c r="M782" s="1" t="s">
        <v>426</v>
      </c>
      <c r="N782" s="31">
        <v>5</v>
      </c>
      <c r="O782" s="31">
        <v>1</v>
      </c>
      <c r="P782" s="32">
        <v>2009</v>
      </c>
    </row>
    <row r="783" spans="1:16" x14ac:dyDescent="0.25">
      <c r="A783" s="1" t="s">
        <v>418</v>
      </c>
      <c r="B783" s="31">
        <v>31.8</v>
      </c>
      <c r="C783" s="1" t="s">
        <v>20</v>
      </c>
      <c r="D783" s="2">
        <v>42705</v>
      </c>
      <c r="E783" s="2">
        <v>42736</v>
      </c>
      <c r="F783" s="17">
        <v>1160000</v>
      </c>
      <c r="G783" s="17">
        <v>36477.99</v>
      </c>
      <c r="H783" s="31">
        <v>1</v>
      </c>
      <c r="I783" s="1" t="s">
        <v>21</v>
      </c>
      <c r="J783" s="1" t="s">
        <v>32</v>
      </c>
      <c r="K783" s="1" t="s">
        <v>419</v>
      </c>
      <c r="L783" s="1" t="s">
        <v>417</v>
      </c>
      <c r="M783" s="1" t="s">
        <v>62</v>
      </c>
      <c r="N783" s="31">
        <v>4</v>
      </c>
      <c r="O783" s="31">
        <v>1</v>
      </c>
      <c r="P783" s="32">
        <v>2005</v>
      </c>
    </row>
    <row r="784" spans="1:16" x14ac:dyDescent="0.25">
      <c r="A784" s="1" t="s">
        <v>423</v>
      </c>
      <c r="B784" s="31">
        <v>32.200000000000003</v>
      </c>
      <c r="C784" s="1" t="s">
        <v>20</v>
      </c>
      <c r="D784" s="2">
        <v>42705</v>
      </c>
      <c r="E784" s="2">
        <v>42705</v>
      </c>
      <c r="F784" s="17">
        <v>1200000</v>
      </c>
      <c r="G784" s="17">
        <v>37267.08</v>
      </c>
      <c r="H784" s="31">
        <v>1</v>
      </c>
      <c r="I784" s="1" t="s">
        <v>21</v>
      </c>
      <c r="J784" s="1" t="s">
        <v>32</v>
      </c>
      <c r="K784" s="1" t="s">
        <v>419</v>
      </c>
      <c r="L784" s="1" t="s">
        <v>417</v>
      </c>
      <c r="M784" s="1" t="s">
        <v>157</v>
      </c>
      <c r="N784" s="31">
        <v>4</v>
      </c>
      <c r="O784" s="31">
        <v>1</v>
      </c>
      <c r="P784" s="32">
        <v>2002</v>
      </c>
    </row>
    <row r="785" spans="1:16" x14ac:dyDescent="0.25">
      <c r="A785" s="1" t="s">
        <v>424</v>
      </c>
      <c r="B785" s="31">
        <v>32.1</v>
      </c>
      <c r="C785" s="1" t="s">
        <v>20</v>
      </c>
      <c r="D785" s="2">
        <v>42675</v>
      </c>
      <c r="E785" s="2">
        <v>42705</v>
      </c>
      <c r="F785" s="17">
        <v>1227864</v>
      </c>
      <c r="G785" s="17">
        <v>38251.22</v>
      </c>
      <c r="H785" s="31">
        <v>1</v>
      </c>
      <c r="I785" s="1" t="s">
        <v>21</v>
      </c>
      <c r="J785" s="1" t="s">
        <v>32</v>
      </c>
      <c r="K785" s="1" t="s">
        <v>419</v>
      </c>
      <c r="L785" s="1" t="s">
        <v>417</v>
      </c>
      <c r="M785" s="1" t="s">
        <v>128</v>
      </c>
      <c r="N785" s="31">
        <v>2</v>
      </c>
      <c r="O785" s="31">
        <v>1</v>
      </c>
      <c r="P785" s="32">
        <v>2002</v>
      </c>
    </row>
    <row r="786" spans="1:16" x14ac:dyDescent="0.25">
      <c r="A786" s="1" t="s">
        <v>438</v>
      </c>
      <c r="B786" s="31">
        <v>43.4</v>
      </c>
      <c r="C786" s="1" t="s">
        <v>20</v>
      </c>
      <c r="D786" s="2">
        <v>42644</v>
      </c>
      <c r="E786" s="2">
        <v>42644</v>
      </c>
      <c r="F786" s="17">
        <v>570000</v>
      </c>
      <c r="G786" s="17">
        <v>13133.64</v>
      </c>
      <c r="H786" s="31">
        <v>1</v>
      </c>
      <c r="I786" s="1" t="s">
        <v>21</v>
      </c>
      <c r="J786" s="1" t="s">
        <v>22</v>
      </c>
      <c r="K786" s="1" t="s">
        <v>437</v>
      </c>
      <c r="L786" s="1" t="s">
        <v>435</v>
      </c>
      <c r="M786" s="1" t="s">
        <v>265</v>
      </c>
      <c r="N786" s="31">
        <v>2</v>
      </c>
      <c r="O786" s="31">
        <v>1</v>
      </c>
      <c r="P786" s="32">
        <v>2005</v>
      </c>
    </row>
    <row r="787" spans="1:16" x14ac:dyDescent="0.25">
      <c r="A787" s="1" t="s">
        <v>440</v>
      </c>
      <c r="B787" s="31">
        <v>59.3</v>
      </c>
      <c r="C787" s="1" t="s">
        <v>20</v>
      </c>
      <c r="D787" s="2">
        <v>42736</v>
      </c>
      <c r="E787" s="2">
        <v>42736</v>
      </c>
      <c r="F787" s="17">
        <v>1105000</v>
      </c>
      <c r="G787" s="17">
        <v>18634.060000000001</v>
      </c>
      <c r="H787" s="31">
        <v>1</v>
      </c>
      <c r="I787" s="1" t="s">
        <v>21</v>
      </c>
      <c r="J787" s="1" t="s">
        <v>22</v>
      </c>
      <c r="K787" s="1" t="s">
        <v>441</v>
      </c>
      <c r="L787" s="1" t="s">
        <v>439</v>
      </c>
      <c r="M787" s="1" t="s">
        <v>126</v>
      </c>
      <c r="N787" s="31">
        <v>2</v>
      </c>
      <c r="O787" s="31">
        <v>2</v>
      </c>
      <c r="P787" s="32">
        <v>2001</v>
      </c>
    </row>
    <row r="788" spans="1:16" x14ac:dyDescent="0.25">
      <c r="A788" s="1" t="s">
        <v>440</v>
      </c>
      <c r="B788" s="31">
        <v>59.3</v>
      </c>
      <c r="C788" s="1" t="s">
        <v>20</v>
      </c>
      <c r="D788" s="2">
        <v>42736</v>
      </c>
      <c r="E788" s="2">
        <v>42736</v>
      </c>
      <c r="F788" s="17">
        <v>1105000</v>
      </c>
      <c r="G788" s="17">
        <v>18634.060000000001</v>
      </c>
      <c r="H788" s="31">
        <v>1</v>
      </c>
      <c r="I788" s="1" t="s">
        <v>21</v>
      </c>
      <c r="J788" s="1" t="s">
        <v>22</v>
      </c>
      <c r="K788" s="1" t="s">
        <v>441</v>
      </c>
      <c r="L788" s="1" t="s">
        <v>439</v>
      </c>
      <c r="M788" s="1" t="s">
        <v>126</v>
      </c>
      <c r="N788" s="31">
        <v>2</v>
      </c>
      <c r="O788" s="31">
        <v>2</v>
      </c>
      <c r="P788" s="32">
        <v>2001</v>
      </c>
    </row>
    <row r="789" spans="1:16" x14ac:dyDescent="0.25">
      <c r="A789" s="1" t="s">
        <v>442</v>
      </c>
      <c r="B789" s="31">
        <v>50.4</v>
      </c>
      <c r="C789" s="1" t="s">
        <v>20</v>
      </c>
      <c r="D789" s="2">
        <v>42767</v>
      </c>
      <c r="E789" s="2">
        <v>42767</v>
      </c>
      <c r="F789" s="17">
        <v>1140000</v>
      </c>
      <c r="G789" s="17">
        <v>22619.05</v>
      </c>
      <c r="H789" s="31">
        <v>1</v>
      </c>
      <c r="I789" s="1" t="s">
        <v>21</v>
      </c>
      <c r="J789" s="1" t="s">
        <v>32</v>
      </c>
      <c r="K789" s="1" t="s">
        <v>441</v>
      </c>
      <c r="L789" s="1" t="s">
        <v>439</v>
      </c>
      <c r="M789" s="1" t="s">
        <v>443</v>
      </c>
      <c r="N789" s="31">
        <v>2</v>
      </c>
      <c r="O789" s="31">
        <v>2</v>
      </c>
      <c r="P789" s="32">
        <v>2001</v>
      </c>
    </row>
    <row r="790" spans="1:16" x14ac:dyDescent="0.25">
      <c r="A790" s="1" t="s">
        <v>442</v>
      </c>
      <c r="B790" s="31">
        <v>50.4</v>
      </c>
      <c r="C790" s="1" t="s">
        <v>20</v>
      </c>
      <c r="D790" s="2">
        <v>42767</v>
      </c>
      <c r="E790" s="2">
        <v>42767</v>
      </c>
      <c r="F790" s="17">
        <v>1140000</v>
      </c>
      <c r="G790" s="17">
        <v>22619.05</v>
      </c>
      <c r="H790" s="31">
        <v>1</v>
      </c>
      <c r="I790" s="1" t="s">
        <v>21</v>
      </c>
      <c r="J790" s="1" t="s">
        <v>32</v>
      </c>
      <c r="K790" s="1" t="s">
        <v>441</v>
      </c>
      <c r="L790" s="1" t="s">
        <v>439</v>
      </c>
      <c r="M790" s="1" t="s">
        <v>443</v>
      </c>
      <c r="N790" s="31">
        <v>2</v>
      </c>
      <c r="O790" s="31">
        <v>2</v>
      </c>
      <c r="P790" s="32">
        <v>2001</v>
      </c>
    </row>
    <row r="791" spans="1:16" x14ac:dyDescent="0.25">
      <c r="A791" s="1" t="s">
        <v>450</v>
      </c>
      <c r="B791" s="31">
        <v>34.799999999999997</v>
      </c>
      <c r="C791" s="1" t="s">
        <v>20</v>
      </c>
      <c r="D791" s="2">
        <v>42705</v>
      </c>
      <c r="E791" s="2">
        <v>42705</v>
      </c>
      <c r="F791" s="17">
        <v>900000</v>
      </c>
      <c r="G791" s="17">
        <v>25862.07</v>
      </c>
      <c r="H791" s="31">
        <v>1</v>
      </c>
      <c r="I791" s="1" t="s">
        <v>21</v>
      </c>
      <c r="J791" s="1" t="s">
        <v>32</v>
      </c>
      <c r="K791" s="1" t="s">
        <v>446</v>
      </c>
      <c r="L791" s="1" t="s">
        <v>444</v>
      </c>
      <c r="M791" s="1" t="s">
        <v>451</v>
      </c>
      <c r="N791" s="31">
        <v>5</v>
      </c>
      <c r="O791" s="31">
        <v>1</v>
      </c>
      <c r="P791" s="32">
        <v>2012</v>
      </c>
    </row>
    <row r="792" spans="1:16" x14ac:dyDescent="0.25">
      <c r="A792" s="1" t="s">
        <v>445</v>
      </c>
      <c r="B792" s="31">
        <v>46.2</v>
      </c>
      <c r="C792" s="1" t="s">
        <v>20</v>
      </c>
      <c r="D792" s="2">
        <v>42795</v>
      </c>
      <c r="E792" s="2">
        <v>42795</v>
      </c>
      <c r="F792" s="17">
        <v>1200000</v>
      </c>
      <c r="G792" s="17">
        <v>25974.03</v>
      </c>
      <c r="H792" s="31">
        <v>1</v>
      </c>
      <c r="I792" s="1" t="s">
        <v>21</v>
      </c>
      <c r="J792" s="1" t="s">
        <v>32</v>
      </c>
      <c r="K792" s="1" t="s">
        <v>446</v>
      </c>
      <c r="L792" s="1" t="s">
        <v>444</v>
      </c>
      <c r="M792" s="1" t="s">
        <v>449</v>
      </c>
      <c r="N792" s="31">
        <v>5</v>
      </c>
      <c r="O792" s="31">
        <v>1</v>
      </c>
      <c r="P792" s="32">
        <v>2002</v>
      </c>
    </row>
    <row r="793" spans="1:16" x14ac:dyDescent="0.25">
      <c r="A793" s="1" t="s">
        <v>445</v>
      </c>
      <c r="B793" s="31">
        <v>29.8</v>
      </c>
      <c r="C793" s="1" t="s">
        <v>20</v>
      </c>
      <c r="D793" s="2">
        <v>42614</v>
      </c>
      <c r="E793" s="2">
        <v>42644</v>
      </c>
      <c r="F793" s="17">
        <v>776000</v>
      </c>
      <c r="G793" s="17">
        <v>26040.27</v>
      </c>
      <c r="H793" s="31">
        <v>1</v>
      </c>
      <c r="I793" s="1" t="s">
        <v>21</v>
      </c>
      <c r="J793" s="1" t="s">
        <v>32</v>
      </c>
      <c r="K793" s="1" t="s">
        <v>446</v>
      </c>
      <c r="L793" s="1" t="s">
        <v>444</v>
      </c>
      <c r="M793" s="1"/>
      <c r="N793" s="31">
        <v>5</v>
      </c>
      <c r="O793" s="31">
        <v>1</v>
      </c>
      <c r="P793" s="32">
        <v>2001</v>
      </c>
    </row>
    <row r="794" spans="1:16" x14ac:dyDescent="0.25">
      <c r="A794" s="1" t="s">
        <v>445</v>
      </c>
      <c r="B794" s="31">
        <v>60.5</v>
      </c>
      <c r="C794" s="1" t="s">
        <v>20</v>
      </c>
      <c r="D794" s="2">
        <v>42705</v>
      </c>
      <c r="E794" s="2">
        <v>42705</v>
      </c>
      <c r="F794" s="17">
        <v>1600000</v>
      </c>
      <c r="G794" s="17">
        <v>26446.28</v>
      </c>
      <c r="H794" s="31">
        <v>1</v>
      </c>
      <c r="I794" s="1" t="s">
        <v>21</v>
      </c>
      <c r="J794" s="1" t="s">
        <v>32</v>
      </c>
      <c r="K794" s="1" t="s">
        <v>446</v>
      </c>
      <c r="L794" s="1" t="s">
        <v>444</v>
      </c>
      <c r="M794" s="1" t="s">
        <v>449</v>
      </c>
      <c r="N794" s="31">
        <v>2</v>
      </c>
      <c r="O794" s="31">
        <v>2</v>
      </c>
      <c r="P794" s="32">
        <v>2005</v>
      </c>
    </row>
    <row r="795" spans="1:16" x14ac:dyDescent="0.25">
      <c r="A795" s="1" t="s">
        <v>445</v>
      </c>
      <c r="B795" s="31">
        <v>60.5</v>
      </c>
      <c r="C795" s="1" t="s">
        <v>20</v>
      </c>
      <c r="D795" s="2">
        <v>42705</v>
      </c>
      <c r="E795" s="2">
        <v>42705</v>
      </c>
      <c r="F795" s="17">
        <v>1600000</v>
      </c>
      <c r="G795" s="17">
        <v>26446.28</v>
      </c>
      <c r="H795" s="31">
        <v>1</v>
      </c>
      <c r="I795" s="1" t="s">
        <v>21</v>
      </c>
      <c r="J795" s="1" t="s">
        <v>32</v>
      </c>
      <c r="K795" s="1" t="s">
        <v>446</v>
      </c>
      <c r="L795" s="1" t="s">
        <v>444</v>
      </c>
      <c r="M795" s="1" t="s">
        <v>449</v>
      </c>
      <c r="N795" s="31">
        <v>2</v>
      </c>
      <c r="O795" s="31">
        <v>2</v>
      </c>
      <c r="P795" s="32">
        <v>2005</v>
      </c>
    </row>
    <row r="796" spans="1:16" x14ac:dyDescent="0.25">
      <c r="A796" s="1" t="s">
        <v>445</v>
      </c>
      <c r="B796" s="31">
        <v>32.1</v>
      </c>
      <c r="C796" s="1" t="s">
        <v>20</v>
      </c>
      <c r="D796" s="2">
        <v>42614</v>
      </c>
      <c r="E796" s="2">
        <v>42644</v>
      </c>
      <c r="F796" s="17">
        <v>850000</v>
      </c>
      <c r="G796" s="17">
        <v>26479.75</v>
      </c>
      <c r="H796" s="31">
        <v>1</v>
      </c>
      <c r="I796" s="1" t="s">
        <v>21</v>
      </c>
      <c r="J796" s="1" t="s">
        <v>32</v>
      </c>
      <c r="K796" s="1" t="s">
        <v>446</v>
      </c>
      <c r="L796" s="1" t="s">
        <v>444</v>
      </c>
      <c r="M796" s="1"/>
      <c r="N796" s="31">
        <v>2</v>
      </c>
      <c r="O796" s="31">
        <v>1</v>
      </c>
      <c r="P796" s="32">
        <v>2015</v>
      </c>
    </row>
    <row r="797" spans="1:16" x14ac:dyDescent="0.25">
      <c r="A797" s="1" t="s">
        <v>458</v>
      </c>
      <c r="B797" s="31">
        <v>61.6</v>
      </c>
      <c r="C797" s="1" t="s">
        <v>20</v>
      </c>
      <c r="D797" s="2">
        <v>42705</v>
      </c>
      <c r="E797" s="2">
        <v>42705</v>
      </c>
      <c r="F797" s="17">
        <v>1648000</v>
      </c>
      <c r="G797" s="17">
        <v>26753.25</v>
      </c>
      <c r="H797" s="31">
        <v>1</v>
      </c>
      <c r="I797" s="1" t="s">
        <v>21</v>
      </c>
      <c r="J797" s="1" t="s">
        <v>32</v>
      </c>
      <c r="K797" s="1" t="s">
        <v>446</v>
      </c>
      <c r="L797" s="1" t="s">
        <v>444</v>
      </c>
      <c r="M797" s="1" t="s">
        <v>455</v>
      </c>
      <c r="N797" s="31">
        <v>2</v>
      </c>
      <c r="O797" s="31">
        <v>2</v>
      </c>
      <c r="P797" s="32">
        <v>2006</v>
      </c>
    </row>
    <row r="798" spans="1:16" x14ac:dyDescent="0.25">
      <c r="A798" s="1" t="s">
        <v>458</v>
      </c>
      <c r="B798" s="31">
        <v>61.6</v>
      </c>
      <c r="C798" s="1" t="s">
        <v>20</v>
      </c>
      <c r="D798" s="2">
        <v>42705</v>
      </c>
      <c r="E798" s="2">
        <v>42705</v>
      </c>
      <c r="F798" s="17">
        <v>1648000</v>
      </c>
      <c r="G798" s="17">
        <v>26753.25</v>
      </c>
      <c r="H798" s="31">
        <v>1</v>
      </c>
      <c r="I798" s="1" t="s">
        <v>21</v>
      </c>
      <c r="J798" s="1" t="s">
        <v>32</v>
      </c>
      <c r="K798" s="1" t="s">
        <v>446</v>
      </c>
      <c r="L798" s="1" t="s">
        <v>444</v>
      </c>
      <c r="M798" s="1" t="s">
        <v>455</v>
      </c>
      <c r="N798" s="31">
        <v>2</v>
      </c>
      <c r="O798" s="31">
        <v>2</v>
      </c>
      <c r="P798" s="32">
        <v>2006</v>
      </c>
    </row>
    <row r="799" spans="1:16" x14ac:dyDescent="0.25">
      <c r="A799" s="1" t="s">
        <v>445</v>
      </c>
      <c r="B799" s="31">
        <v>42.6</v>
      </c>
      <c r="C799" s="1" t="s">
        <v>20</v>
      </c>
      <c r="D799" s="2">
        <v>42705</v>
      </c>
      <c r="E799" s="2">
        <v>42705</v>
      </c>
      <c r="F799" s="17">
        <v>1160000</v>
      </c>
      <c r="G799" s="17">
        <v>27230.05</v>
      </c>
      <c r="H799" s="31">
        <v>1</v>
      </c>
      <c r="I799" s="1" t="s">
        <v>21</v>
      </c>
      <c r="J799" s="1" t="s">
        <v>32</v>
      </c>
      <c r="K799" s="1" t="s">
        <v>446</v>
      </c>
      <c r="L799" s="1" t="s">
        <v>444</v>
      </c>
      <c r="M799" s="1"/>
      <c r="N799" s="31">
        <v>2</v>
      </c>
      <c r="O799" s="31">
        <v>2</v>
      </c>
      <c r="P799" s="32">
        <v>2006</v>
      </c>
    </row>
    <row r="800" spans="1:16" x14ac:dyDescent="0.25">
      <c r="A800" s="1" t="s">
        <v>445</v>
      </c>
      <c r="B800" s="31">
        <v>42.6</v>
      </c>
      <c r="C800" s="1" t="s">
        <v>20</v>
      </c>
      <c r="D800" s="2">
        <v>42705</v>
      </c>
      <c r="E800" s="2">
        <v>42705</v>
      </c>
      <c r="F800" s="17">
        <v>1160000</v>
      </c>
      <c r="G800" s="17">
        <v>27230.05</v>
      </c>
      <c r="H800" s="31">
        <v>1</v>
      </c>
      <c r="I800" s="1" t="s">
        <v>21</v>
      </c>
      <c r="J800" s="1" t="s">
        <v>32</v>
      </c>
      <c r="K800" s="1" t="s">
        <v>446</v>
      </c>
      <c r="L800" s="1" t="s">
        <v>444</v>
      </c>
      <c r="M800" s="1"/>
      <c r="N800" s="31">
        <v>2</v>
      </c>
      <c r="O800" s="31">
        <v>2</v>
      </c>
      <c r="P800" s="32">
        <v>2006</v>
      </c>
    </row>
    <row r="801" spans="1:16" x14ac:dyDescent="0.25">
      <c r="A801" s="1" t="s">
        <v>452</v>
      </c>
      <c r="B801" s="31">
        <v>51.2</v>
      </c>
      <c r="C801" s="1" t="s">
        <v>20</v>
      </c>
      <c r="D801" s="2">
        <v>42675</v>
      </c>
      <c r="E801" s="2">
        <v>42675</v>
      </c>
      <c r="F801" s="17">
        <v>1400000</v>
      </c>
      <c r="G801" s="17">
        <v>27343.75</v>
      </c>
      <c r="H801" s="31">
        <v>1</v>
      </c>
      <c r="I801" s="1" t="s">
        <v>21</v>
      </c>
      <c r="J801" s="1" t="s">
        <v>32</v>
      </c>
      <c r="K801" s="1" t="s">
        <v>446</v>
      </c>
      <c r="L801" s="1" t="s">
        <v>444</v>
      </c>
      <c r="M801" s="1" t="s">
        <v>59</v>
      </c>
      <c r="N801" s="31">
        <v>4</v>
      </c>
      <c r="O801" s="31">
        <v>1</v>
      </c>
      <c r="P801" s="32">
        <v>2015</v>
      </c>
    </row>
    <row r="802" spans="1:16" x14ac:dyDescent="0.25">
      <c r="A802" s="1" t="s">
        <v>445</v>
      </c>
      <c r="B802" s="31">
        <v>44.2</v>
      </c>
      <c r="C802" s="1" t="s">
        <v>20</v>
      </c>
      <c r="D802" s="2">
        <v>42736</v>
      </c>
      <c r="E802" s="2">
        <v>42736</v>
      </c>
      <c r="F802" s="17">
        <v>1220000</v>
      </c>
      <c r="G802" s="17">
        <v>27601.81</v>
      </c>
      <c r="H802" s="31">
        <v>1</v>
      </c>
      <c r="I802" s="1" t="s">
        <v>21</v>
      </c>
      <c r="J802" s="1" t="s">
        <v>22</v>
      </c>
      <c r="K802" s="1" t="s">
        <v>446</v>
      </c>
      <c r="L802" s="1" t="s">
        <v>444</v>
      </c>
      <c r="M802" s="1" t="s">
        <v>449</v>
      </c>
      <c r="N802" s="31">
        <v>3</v>
      </c>
      <c r="O802" s="31">
        <v>2</v>
      </c>
      <c r="P802" s="32">
        <v>2016</v>
      </c>
    </row>
    <row r="803" spans="1:16" x14ac:dyDescent="0.25">
      <c r="A803" s="1" t="s">
        <v>445</v>
      </c>
      <c r="B803" s="31">
        <v>44.2</v>
      </c>
      <c r="C803" s="1" t="s">
        <v>20</v>
      </c>
      <c r="D803" s="2">
        <v>42736</v>
      </c>
      <c r="E803" s="2">
        <v>42736</v>
      </c>
      <c r="F803" s="17">
        <v>1220000</v>
      </c>
      <c r="G803" s="17">
        <v>27601.81</v>
      </c>
      <c r="H803" s="31">
        <v>1</v>
      </c>
      <c r="I803" s="1" t="s">
        <v>21</v>
      </c>
      <c r="J803" s="1" t="s">
        <v>22</v>
      </c>
      <c r="K803" s="1" t="s">
        <v>446</v>
      </c>
      <c r="L803" s="1" t="s">
        <v>444</v>
      </c>
      <c r="M803" s="1" t="s">
        <v>449</v>
      </c>
      <c r="N803" s="31">
        <v>3</v>
      </c>
      <c r="O803" s="31">
        <v>2</v>
      </c>
      <c r="P803" s="32">
        <v>2016</v>
      </c>
    </row>
    <row r="804" spans="1:16" x14ac:dyDescent="0.25">
      <c r="A804" s="1" t="s">
        <v>453</v>
      </c>
      <c r="B804" s="31">
        <v>46.5</v>
      </c>
      <c r="C804" s="1" t="s">
        <v>20</v>
      </c>
      <c r="D804" s="2">
        <v>42705</v>
      </c>
      <c r="E804" s="2">
        <v>42705</v>
      </c>
      <c r="F804" s="17">
        <v>1287828</v>
      </c>
      <c r="G804" s="17">
        <v>27695.23</v>
      </c>
      <c r="H804" s="31">
        <v>1</v>
      </c>
      <c r="I804" s="1" t="s">
        <v>21</v>
      </c>
      <c r="J804" s="1" t="s">
        <v>32</v>
      </c>
      <c r="K804" s="1" t="s">
        <v>446</v>
      </c>
      <c r="L804" s="1" t="s">
        <v>444</v>
      </c>
      <c r="M804" s="1" t="s">
        <v>454</v>
      </c>
      <c r="N804" s="31">
        <v>3</v>
      </c>
      <c r="O804" s="31">
        <v>1</v>
      </c>
      <c r="P804" s="32">
        <v>2013</v>
      </c>
    </row>
    <row r="805" spans="1:16" x14ac:dyDescent="0.25">
      <c r="A805" s="1" t="s">
        <v>463</v>
      </c>
      <c r="B805" s="31">
        <v>53.4</v>
      </c>
      <c r="C805" s="1" t="s">
        <v>20</v>
      </c>
      <c r="D805" s="2">
        <v>42767</v>
      </c>
      <c r="E805" s="2">
        <v>42767</v>
      </c>
      <c r="F805" s="17">
        <v>1500000</v>
      </c>
      <c r="G805" s="17">
        <v>28089.89</v>
      </c>
      <c r="H805" s="31">
        <v>1</v>
      </c>
      <c r="I805" s="1" t="s">
        <v>21</v>
      </c>
      <c r="J805" s="1" t="s">
        <v>32</v>
      </c>
      <c r="K805" s="1" t="s">
        <v>446</v>
      </c>
      <c r="L805" s="1" t="s">
        <v>444</v>
      </c>
      <c r="M805" s="1" t="s">
        <v>75</v>
      </c>
      <c r="N805" s="31">
        <v>2</v>
      </c>
      <c r="O805" s="31">
        <v>2</v>
      </c>
      <c r="P805" s="32">
        <v>2003</v>
      </c>
    </row>
    <row r="806" spans="1:16" x14ac:dyDescent="0.25">
      <c r="A806" s="1" t="s">
        <v>463</v>
      </c>
      <c r="B806" s="31">
        <v>53.4</v>
      </c>
      <c r="C806" s="1" t="s">
        <v>20</v>
      </c>
      <c r="D806" s="2">
        <v>42767</v>
      </c>
      <c r="E806" s="2">
        <v>42767</v>
      </c>
      <c r="F806" s="17">
        <v>1500000</v>
      </c>
      <c r="G806" s="17">
        <v>28089.89</v>
      </c>
      <c r="H806" s="31">
        <v>1</v>
      </c>
      <c r="I806" s="1" t="s">
        <v>21</v>
      </c>
      <c r="J806" s="1" t="s">
        <v>32</v>
      </c>
      <c r="K806" s="1" t="s">
        <v>446</v>
      </c>
      <c r="L806" s="1" t="s">
        <v>444</v>
      </c>
      <c r="M806" s="1" t="s">
        <v>75</v>
      </c>
      <c r="N806" s="31">
        <v>2</v>
      </c>
      <c r="O806" s="31">
        <v>2</v>
      </c>
      <c r="P806" s="32">
        <v>2003</v>
      </c>
    </row>
    <row r="807" spans="1:16" x14ac:dyDescent="0.25">
      <c r="A807" s="1" t="s">
        <v>450</v>
      </c>
      <c r="B807" s="31">
        <v>37.6</v>
      </c>
      <c r="C807" s="1" t="s">
        <v>20</v>
      </c>
      <c r="D807" s="2">
        <v>42644</v>
      </c>
      <c r="E807" s="2">
        <v>42644</v>
      </c>
      <c r="F807" s="17">
        <v>1060000</v>
      </c>
      <c r="G807" s="17">
        <v>28191.49</v>
      </c>
      <c r="H807" s="31">
        <v>1</v>
      </c>
      <c r="I807" s="1" t="s">
        <v>21</v>
      </c>
      <c r="J807" s="1" t="s">
        <v>32</v>
      </c>
      <c r="K807" s="1" t="s">
        <v>446</v>
      </c>
      <c r="L807" s="1" t="s">
        <v>444</v>
      </c>
      <c r="M807" s="1" t="s">
        <v>451</v>
      </c>
      <c r="N807" s="31">
        <v>6</v>
      </c>
      <c r="O807" s="31">
        <v>2</v>
      </c>
      <c r="P807" s="32">
        <v>2009</v>
      </c>
    </row>
    <row r="808" spans="1:16" x14ac:dyDescent="0.25">
      <c r="A808" s="1" t="s">
        <v>450</v>
      </c>
      <c r="B808" s="31">
        <v>37.6</v>
      </c>
      <c r="C808" s="1" t="s">
        <v>20</v>
      </c>
      <c r="D808" s="2">
        <v>42644</v>
      </c>
      <c r="E808" s="2">
        <v>42644</v>
      </c>
      <c r="F808" s="17">
        <v>1060000</v>
      </c>
      <c r="G808" s="17">
        <v>28191.49</v>
      </c>
      <c r="H808" s="31">
        <v>1</v>
      </c>
      <c r="I808" s="1" t="s">
        <v>21</v>
      </c>
      <c r="J808" s="1" t="s">
        <v>32</v>
      </c>
      <c r="K808" s="1" t="s">
        <v>446</v>
      </c>
      <c r="L808" s="1" t="s">
        <v>444</v>
      </c>
      <c r="M808" s="1" t="s">
        <v>451</v>
      </c>
      <c r="N808" s="31">
        <v>6</v>
      </c>
      <c r="O808" s="31">
        <v>2</v>
      </c>
      <c r="P808" s="32">
        <v>2009</v>
      </c>
    </row>
    <row r="809" spans="1:16" x14ac:dyDescent="0.25">
      <c r="A809" s="1" t="s">
        <v>447</v>
      </c>
      <c r="B809" s="31">
        <v>52.9</v>
      </c>
      <c r="C809" s="1" t="s">
        <v>20</v>
      </c>
      <c r="D809" s="2">
        <v>42767</v>
      </c>
      <c r="E809" s="2">
        <v>42767</v>
      </c>
      <c r="F809" s="17">
        <v>1510509</v>
      </c>
      <c r="G809" s="17">
        <v>28554.05</v>
      </c>
      <c r="H809" s="31">
        <v>1</v>
      </c>
      <c r="I809" s="1" t="s">
        <v>21</v>
      </c>
      <c r="J809" s="1" t="s">
        <v>22</v>
      </c>
      <c r="K809" s="1" t="s">
        <v>446</v>
      </c>
      <c r="L809" s="1" t="s">
        <v>444</v>
      </c>
      <c r="M809" s="1" t="s">
        <v>59</v>
      </c>
      <c r="N809" s="31">
        <v>2</v>
      </c>
      <c r="O809" s="31">
        <v>1</v>
      </c>
      <c r="P809" s="32">
        <v>2017</v>
      </c>
    </row>
    <row r="810" spans="1:16" x14ac:dyDescent="0.25">
      <c r="A810" s="1" t="s">
        <v>452</v>
      </c>
      <c r="B810" s="31">
        <v>32.4</v>
      </c>
      <c r="C810" s="1" t="s">
        <v>20</v>
      </c>
      <c r="D810" s="2">
        <v>42675</v>
      </c>
      <c r="E810" s="2">
        <v>42675</v>
      </c>
      <c r="F810" s="17">
        <v>960000</v>
      </c>
      <c r="G810" s="17">
        <v>29629.63</v>
      </c>
      <c r="H810" s="31">
        <v>1</v>
      </c>
      <c r="I810" s="1" t="s">
        <v>21</v>
      </c>
      <c r="J810" s="1" t="s">
        <v>32</v>
      </c>
      <c r="K810" s="1" t="s">
        <v>446</v>
      </c>
      <c r="L810" s="1" t="s">
        <v>444</v>
      </c>
      <c r="M810" s="1" t="s">
        <v>214</v>
      </c>
      <c r="N810" s="31">
        <v>1</v>
      </c>
      <c r="O810" s="31">
        <v>1</v>
      </c>
      <c r="P810" s="32">
        <v>2002</v>
      </c>
    </row>
    <row r="811" spans="1:16" x14ac:dyDescent="0.25">
      <c r="A811" s="1" t="s">
        <v>445</v>
      </c>
      <c r="B811" s="31">
        <v>46.6</v>
      </c>
      <c r="C811" s="1" t="s">
        <v>20</v>
      </c>
      <c r="D811" s="2">
        <v>42767</v>
      </c>
      <c r="E811" s="2">
        <v>42767</v>
      </c>
      <c r="F811" s="17">
        <v>1400000</v>
      </c>
      <c r="G811" s="17">
        <v>30042.92</v>
      </c>
      <c r="H811" s="31">
        <v>1</v>
      </c>
      <c r="I811" s="1" t="s">
        <v>21</v>
      </c>
      <c r="J811" s="1" t="s">
        <v>22</v>
      </c>
      <c r="K811" s="1" t="s">
        <v>446</v>
      </c>
      <c r="L811" s="1" t="s">
        <v>444</v>
      </c>
      <c r="M811" s="1"/>
      <c r="N811" s="31">
        <v>3</v>
      </c>
      <c r="O811" s="31">
        <v>2</v>
      </c>
      <c r="P811" s="32">
        <v>2016</v>
      </c>
    </row>
    <row r="812" spans="1:16" x14ac:dyDescent="0.25">
      <c r="A812" s="1" t="s">
        <v>445</v>
      </c>
      <c r="B812" s="31">
        <v>46.6</v>
      </c>
      <c r="C812" s="1" t="s">
        <v>20</v>
      </c>
      <c r="D812" s="2">
        <v>42767</v>
      </c>
      <c r="E812" s="2">
        <v>42767</v>
      </c>
      <c r="F812" s="17">
        <v>1400000</v>
      </c>
      <c r="G812" s="17">
        <v>30042.92</v>
      </c>
      <c r="H812" s="31">
        <v>1</v>
      </c>
      <c r="I812" s="1" t="s">
        <v>21</v>
      </c>
      <c r="J812" s="1" t="s">
        <v>22</v>
      </c>
      <c r="K812" s="1" t="s">
        <v>446</v>
      </c>
      <c r="L812" s="1" t="s">
        <v>444</v>
      </c>
      <c r="M812" s="1"/>
      <c r="N812" s="31">
        <v>3</v>
      </c>
      <c r="O812" s="31">
        <v>2</v>
      </c>
      <c r="P812" s="32">
        <v>2016</v>
      </c>
    </row>
    <row r="813" spans="1:16" x14ac:dyDescent="0.25">
      <c r="A813" s="1" t="s">
        <v>445</v>
      </c>
      <c r="B813" s="31">
        <v>8.3000000000000007</v>
      </c>
      <c r="C813" s="1" t="s">
        <v>20</v>
      </c>
      <c r="D813" s="2">
        <v>42644</v>
      </c>
      <c r="E813" s="2">
        <v>42644</v>
      </c>
      <c r="F813" s="17">
        <v>454000</v>
      </c>
      <c r="G813" s="17">
        <v>54698.8</v>
      </c>
      <c r="H813" s="31">
        <v>1</v>
      </c>
      <c r="I813" s="1" t="s">
        <v>21</v>
      </c>
      <c r="J813" s="1" t="s">
        <v>32</v>
      </c>
      <c r="K813" s="1" t="s">
        <v>446</v>
      </c>
      <c r="L813" s="1" t="s">
        <v>444</v>
      </c>
      <c r="M813" s="1"/>
      <c r="N813" s="31">
        <v>1</v>
      </c>
      <c r="O813" s="31">
        <v>1</v>
      </c>
      <c r="P813" s="32">
        <v>2008</v>
      </c>
    </row>
  </sheetData>
  <autoFilter ref="A3:Q813"/>
  <mergeCells count="1">
    <mergeCell ref="A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opLeftCell="A10" workbookViewId="0">
      <selection activeCell="C32" sqref="C32"/>
    </sheetView>
  </sheetViews>
  <sheetFormatPr defaultRowHeight="15" x14ac:dyDescent="0.25"/>
  <cols>
    <col min="1" max="1" width="21.85546875" bestFit="1" customWidth="1"/>
    <col min="2" max="3" width="22.42578125" customWidth="1"/>
    <col min="4" max="4" width="18.5703125" bestFit="1" customWidth="1"/>
    <col min="5" max="5" width="20.140625" customWidth="1"/>
    <col min="6" max="8" width="17" style="10" customWidth="1"/>
    <col min="9" max="10" width="17" style="68" customWidth="1"/>
  </cols>
  <sheetData>
    <row r="2" spans="1:10" ht="15.75" thickBot="1" x14ac:dyDescent="0.3"/>
    <row r="3" spans="1:10" x14ac:dyDescent="0.25">
      <c r="A3" s="83"/>
      <c r="B3" s="84" t="s">
        <v>467</v>
      </c>
      <c r="C3" s="85"/>
      <c r="D3" s="85"/>
      <c r="E3" s="86"/>
    </row>
    <row r="4" spans="1:10" s="48" customFormat="1" ht="60" x14ac:dyDescent="0.25">
      <c r="A4" s="87" t="s">
        <v>465</v>
      </c>
      <c r="B4" s="46" t="s">
        <v>469</v>
      </c>
      <c r="C4" s="47" t="s">
        <v>470</v>
      </c>
      <c r="D4" s="47" t="s">
        <v>472</v>
      </c>
      <c r="E4" s="88" t="s">
        <v>473</v>
      </c>
      <c r="F4" s="78" t="s">
        <v>546</v>
      </c>
      <c r="G4" s="78" t="s">
        <v>547</v>
      </c>
      <c r="H4" s="70"/>
      <c r="I4" s="69"/>
      <c r="J4" s="69"/>
    </row>
    <row r="5" spans="1:10" x14ac:dyDescent="0.25">
      <c r="A5" s="89" t="s">
        <v>17</v>
      </c>
      <c r="B5" s="73">
        <v>29618.328636363636</v>
      </c>
      <c r="C5" s="73">
        <v>28297200</v>
      </c>
      <c r="D5" s="74">
        <v>22</v>
      </c>
      <c r="E5" s="90">
        <v>43.56363636363637</v>
      </c>
      <c r="F5" s="80">
        <f>MODE('Росреестр массив'!G4:G12)</f>
        <v>38283.26</v>
      </c>
      <c r="G5" s="75">
        <f>MEDIAN('Росреестр массив'!G4:G12)</f>
        <v>40809.06</v>
      </c>
    </row>
    <row r="6" spans="1:10" x14ac:dyDescent="0.25">
      <c r="A6" s="91" t="s">
        <v>34</v>
      </c>
      <c r="B6" s="71">
        <v>20032.106666666667</v>
      </c>
      <c r="C6" s="71">
        <v>2773134</v>
      </c>
      <c r="D6" s="72">
        <v>3</v>
      </c>
      <c r="E6" s="92">
        <v>44.800000000000004</v>
      </c>
      <c r="F6" s="81"/>
      <c r="G6" s="76"/>
    </row>
    <row r="7" spans="1:10" x14ac:dyDescent="0.25">
      <c r="A7" s="91" t="s">
        <v>42</v>
      </c>
      <c r="B7" s="71">
        <v>6806.6</v>
      </c>
      <c r="C7" s="71">
        <v>454000</v>
      </c>
      <c r="D7" s="72">
        <v>1</v>
      </c>
      <c r="E7" s="92">
        <v>66.7</v>
      </c>
      <c r="F7" s="81"/>
      <c r="G7" s="76"/>
    </row>
    <row r="8" spans="1:10" x14ac:dyDescent="0.25">
      <c r="A8" s="91" t="s">
        <v>46</v>
      </c>
      <c r="B8" s="71">
        <v>16637.917999999998</v>
      </c>
      <c r="C8" s="71">
        <v>3424026</v>
      </c>
      <c r="D8" s="72">
        <v>5</v>
      </c>
      <c r="E8" s="92">
        <v>41.2</v>
      </c>
      <c r="F8" s="81"/>
      <c r="G8" s="76"/>
    </row>
    <row r="9" spans="1:10" x14ac:dyDescent="0.25">
      <c r="A9" s="91" t="s">
        <v>56</v>
      </c>
      <c r="B9" s="71">
        <v>17735.789230769231</v>
      </c>
      <c r="C9" s="71">
        <v>8380500</v>
      </c>
      <c r="D9" s="72">
        <v>13</v>
      </c>
      <c r="E9" s="92">
        <v>37.615384615384613</v>
      </c>
      <c r="F9" s="81"/>
      <c r="G9" s="76"/>
    </row>
    <row r="10" spans="1:10" x14ac:dyDescent="0.25">
      <c r="A10" s="91" t="s">
        <v>67</v>
      </c>
      <c r="B10" s="71">
        <v>22169.972857142857</v>
      </c>
      <c r="C10" s="71">
        <v>6051500</v>
      </c>
      <c r="D10" s="72">
        <v>7</v>
      </c>
      <c r="E10" s="92">
        <v>39.285714285714278</v>
      </c>
      <c r="F10" s="81"/>
      <c r="G10" s="76"/>
    </row>
    <row r="11" spans="1:10" x14ac:dyDescent="0.25">
      <c r="A11" s="93" t="s">
        <v>76</v>
      </c>
      <c r="B11" s="71">
        <v>22471.838735632187</v>
      </c>
      <c r="C11" s="71">
        <v>87764749.150000006</v>
      </c>
      <c r="D11" s="72">
        <v>87</v>
      </c>
      <c r="E11" s="92">
        <v>44.02528735632184</v>
      </c>
      <c r="F11" s="81">
        <f>MODE('Росреестр массив'!G34:G95)</f>
        <v>20501.14</v>
      </c>
      <c r="G11" s="76">
        <f>MEDIAN('Росреестр массив'!G34:G812)</f>
        <v>31319.91</v>
      </c>
    </row>
    <row r="12" spans="1:10" x14ac:dyDescent="0.25">
      <c r="A12" s="93" t="s">
        <v>111</v>
      </c>
      <c r="B12" s="71">
        <v>23137.839</v>
      </c>
      <c r="C12" s="71">
        <v>10394274</v>
      </c>
      <c r="D12" s="72">
        <v>10</v>
      </c>
      <c r="E12" s="92">
        <v>46.5</v>
      </c>
      <c r="F12" s="81"/>
      <c r="G12" s="76"/>
    </row>
    <row r="13" spans="1:10" x14ac:dyDescent="0.25">
      <c r="A13" s="93" t="s">
        <v>123</v>
      </c>
      <c r="B13" s="71">
        <v>23621.673333333329</v>
      </c>
      <c r="C13" s="71">
        <v>6073880</v>
      </c>
      <c r="D13" s="72">
        <v>6</v>
      </c>
      <c r="E13" s="92">
        <v>41.699999999999996</v>
      </c>
      <c r="F13" s="81"/>
      <c r="G13" s="76"/>
    </row>
    <row r="14" spans="1:10" x14ac:dyDescent="0.25">
      <c r="A14" s="93" t="s">
        <v>135</v>
      </c>
      <c r="B14" s="71">
        <v>30896.43037037037</v>
      </c>
      <c r="C14" s="71">
        <v>78701372</v>
      </c>
      <c r="D14" s="72">
        <v>54</v>
      </c>
      <c r="E14" s="92">
        <v>47.588888888888903</v>
      </c>
      <c r="F14" s="81">
        <f>MODE('Росреестр массив'!G111:G140)</f>
        <v>30215.83</v>
      </c>
      <c r="G14" s="76">
        <f>MEDIAN('Росреестр массив'!G111:G140)</f>
        <v>33096.93</v>
      </c>
    </row>
    <row r="15" spans="1:10" x14ac:dyDescent="0.25">
      <c r="A15" s="93" t="s">
        <v>150</v>
      </c>
      <c r="B15" s="71">
        <v>11884.82</v>
      </c>
      <c r="C15" s="71">
        <v>454000</v>
      </c>
      <c r="D15" s="72">
        <v>1</v>
      </c>
      <c r="E15" s="92">
        <v>38.200000000000003</v>
      </c>
      <c r="F15" s="81"/>
      <c r="G15" s="76"/>
    </row>
    <row r="16" spans="1:10" x14ac:dyDescent="0.25">
      <c r="A16" s="93" t="s">
        <v>154</v>
      </c>
      <c r="B16" s="71">
        <v>26886.335000000003</v>
      </c>
      <c r="C16" s="71">
        <v>13015836</v>
      </c>
      <c r="D16" s="72">
        <v>12</v>
      </c>
      <c r="E16" s="92">
        <v>40.366666666666667</v>
      </c>
      <c r="F16" s="81"/>
      <c r="G16" s="76"/>
    </row>
    <row r="17" spans="1:7" x14ac:dyDescent="0.25">
      <c r="A17" s="93" t="s">
        <v>162</v>
      </c>
      <c r="B17" s="71">
        <v>20496.953999999998</v>
      </c>
      <c r="C17" s="71">
        <v>4488400</v>
      </c>
      <c r="D17" s="72">
        <v>5</v>
      </c>
      <c r="E17" s="92">
        <v>42.980000000000004</v>
      </c>
      <c r="F17" s="81"/>
      <c r="G17" s="76"/>
    </row>
    <row r="18" spans="1:7" x14ac:dyDescent="0.25">
      <c r="A18" s="93" t="s">
        <v>169</v>
      </c>
      <c r="B18" s="71">
        <v>24570.02</v>
      </c>
      <c r="C18" s="71">
        <v>2000000</v>
      </c>
      <c r="D18" s="72">
        <v>2</v>
      </c>
      <c r="E18" s="92">
        <v>40.700000000000003</v>
      </c>
      <c r="F18" s="81"/>
      <c r="G18" s="76"/>
    </row>
    <row r="19" spans="1:7" x14ac:dyDescent="0.25">
      <c r="A19" s="93" t="s">
        <v>172</v>
      </c>
      <c r="B19" s="71">
        <v>27287.897471264376</v>
      </c>
      <c r="C19" s="71">
        <v>125675835</v>
      </c>
      <c r="D19" s="72">
        <v>87</v>
      </c>
      <c r="E19" s="92">
        <v>53.243678160919551</v>
      </c>
      <c r="F19" s="81">
        <f>MODE('Росреестр массив'!G158:G220)</f>
        <v>25051.759999999998</v>
      </c>
      <c r="G19" s="76">
        <f>MEDIAN('Росреестр массив'!G158:G220)</f>
        <v>28639.62</v>
      </c>
    </row>
    <row r="20" spans="1:7" x14ac:dyDescent="0.25">
      <c r="A20" s="93" t="s">
        <v>218</v>
      </c>
      <c r="B20" s="71">
        <v>24282.314324324318</v>
      </c>
      <c r="C20" s="71">
        <v>130466210.31999999</v>
      </c>
      <c r="D20" s="72">
        <v>111</v>
      </c>
      <c r="E20" s="92">
        <v>48.730630630630628</v>
      </c>
      <c r="F20" s="81">
        <f>MODE('Росреестр массив'!G221:G305)</f>
        <v>20547.95</v>
      </c>
      <c r="G20" s="76">
        <f>MEDIAN('Росреестр массив'!G221:G305)</f>
        <v>25622.78</v>
      </c>
    </row>
    <row r="21" spans="1:7" x14ac:dyDescent="0.25">
      <c r="A21" s="93" t="s">
        <v>252</v>
      </c>
      <c r="B21" s="71">
        <v>30759.548206686944</v>
      </c>
      <c r="C21" s="71">
        <v>475038244.53000003</v>
      </c>
      <c r="D21" s="72">
        <v>329</v>
      </c>
      <c r="E21" s="92">
        <v>47.160486322188412</v>
      </c>
      <c r="F21" s="81">
        <f>MODE('Росреестр массив'!G306:G478)</f>
        <v>31000</v>
      </c>
      <c r="G21" s="76">
        <f>MEDIAN('Росреестр массив'!G306:G478)</f>
        <v>32745.59</v>
      </c>
    </row>
    <row r="22" spans="1:7" x14ac:dyDescent="0.25">
      <c r="A22" s="93" t="s">
        <v>286</v>
      </c>
      <c r="B22" s="71">
        <v>10151.047500000001</v>
      </c>
      <c r="C22" s="71">
        <v>2559200</v>
      </c>
      <c r="D22" s="72">
        <v>4</v>
      </c>
      <c r="E22" s="92">
        <v>61.3</v>
      </c>
      <c r="F22" s="81"/>
      <c r="G22" s="76"/>
    </row>
    <row r="23" spans="1:7" x14ac:dyDescent="0.25">
      <c r="A23" s="93" t="s">
        <v>295</v>
      </c>
      <c r="B23" s="71">
        <v>30149.771895424834</v>
      </c>
      <c r="C23" s="71">
        <v>218259654</v>
      </c>
      <c r="D23" s="72">
        <v>153</v>
      </c>
      <c r="E23" s="92">
        <v>47.502614379084953</v>
      </c>
      <c r="F23" s="81">
        <f>MODE('Росреестр массив'!G480:G542)</f>
        <v>31710.71</v>
      </c>
      <c r="G23" s="76">
        <f>MEDIAN('Росреестр массив'!G480:G542)</f>
        <v>32525.77</v>
      </c>
    </row>
    <row r="24" spans="1:7" x14ac:dyDescent="0.25">
      <c r="A24" s="93" t="s">
        <v>337</v>
      </c>
      <c r="B24" s="71">
        <v>25521.341621621636</v>
      </c>
      <c r="C24" s="71">
        <v>90310629</v>
      </c>
      <c r="D24" s="72">
        <v>74</v>
      </c>
      <c r="E24" s="92">
        <v>47.554054054054056</v>
      </c>
      <c r="F24" s="81">
        <f>MODE('Росреестр массив'!G543:G580)</f>
        <v>26522.59</v>
      </c>
      <c r="G24" s="76">
        <f>MEDIAN('Росреестр массив'!G543:G580)</f>
        <v>26913.199999999997</v>
      </c>
    </row>
    <row r="25" spans="1:7" x14ac:dyDescent="0.25">
      <c r="A25" s="93" t="s">
        <v>359</v>
      </c>
      <c r="B25" s="71">
        <v>28067.251381818169</v>
      </c>
      <c r="C25" s="71">
        <v>349591082.24000001</v>
      </c>
      <c r="D25" s="72">
        <v>275</v>
      </c>
      <c r="E25" s="92">
        <v>46.199272727272678</v>
      </c>
      <c r="F25" s="81">
        <f>MODE('Росреестр массив'!G581:G716)</f>
        <v>30639.1</v>
      </c>
      <c r="G25" s="76">
        <f>MEDIAN('Росреестр массив'!G581:G716)</f>
        <v>35160.14</v>
      </c>
    </row>
    <row r="26" spans="1:7" x14ac:dyDescent="0.25">
      <c r="A26" s="93" t="s">
        <v>417</v>
      </c>
      <c r="B26" s="71">
        <v>26804.008712871295</v>
      </c>
      <c r="C26" s="71">
        <v>120337616</v>
      </c>
      <c r="D26" s="72">
        <v>101</v>
      </c>
      <c r="E26" s="92">
        <v>44.863366336633661</v>
      </c>
      <c r="F26" s="81">
        <f>MODE('Росреестр массив'!G717:G785)</f>
        <v>25773.200000000001</v>
      </c>
      <c r="G26" s="76">
        <f>MEDIAN('Росреестр массив'!G717:G785)</f>
        <v>30860.53</v>
      </c>
    </row>
    <row r="27" spans="1:7" x14ac:dyDescent="0.25">
      <c r="A27" s="91" t="s">
        <v>435</v>
      </c>
      <c r="B27" s="71">
        <v>11096.83</v>
      </c>
      <c r="C27" s="71">
        <v>1370000</v>
      </c>
      <c r="D27" s="72">
        <v>2</v>
      </c>
      <c r="E27" s="92">
        <v>65.849999999999994</v>
      </c>
      <c r="F27" s="81"/>
      <c r="G27" s="76"/>
    </row>
    <row r="28" spans="1:7" x14ac:dyDescent="0.25">
      <c r="A28" s="91" t="s">
        <v>439</v>
      </c>
      <c r="B28" s="71">
        <v>20626.555</v>
      </c>
      <c r="C28" s="71">
        <v>4490000</v>
      </c>
      <c r="D28" s="72">
        <v>4</v>
      </c>
      <c r="E28" s="92">
        <v>54.85</v>
      </c>
      <c r="F28" s="81"/>
      <c r="G28" s="76"/>
    </row>
    <row r="29" spans="1:7" x14ac:dyDescent="0.25">
      <c r="A29" s="91" t="s">
        <v>444</v>
      </c>
      <c r="B29" s="71">
        <v>23482.6558</v>
      </c>
      <c r="C29" s="71">
        <v>52564391</v>
      </c>
      <c r="D29" s="72">
        <v>50</v>
      </c>
      <c r="E29" s="92">
        <v>45.817999999999991</v>
      </c>
      <c r="F29" s="81">
        <f>MODE('Росреестр массив'!G791:G813)</f>
        <v>26446.28</v>
      </c>
      <c r="G29" s="76">
        <f>MEDIAN('Росреестр массив'!G791:G813)</f>
        <v>27601.81</v>
      </c>
    </row>
    <row r="30" spans="1:7" ht="15.75" thickBot="1" x14ac:dyDescent="0.3">
      <c r="A30" s="94" t="s">
        <v>466</v>
      </c>
      <c r="B30" s="95">
        <v>27578.326995768683</v>
      </c>
      <c r="C30" s="95">
        <v>1822935733.2400002</v>
      </c>
      <c r="D30" s="96">
        <v>1418</v>
      </c>
      <c r="E30" s="97">
        <v>46.918758815232721</v>
      </c>
      <c r="F30" s="82"/>
      <c r="G30" s="77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0"/>
  <sheetViews>
    <sheetView topLeftCell="J103" zoomScale="80" zoomScaleNormal="80" workbookViewId="0">
      <selection activeCell="X115" sqref="X115"/>
    </sheetView>
  </sheetViews>
  <sheetFormatPr defaultColWidth="9.140625" defaultRowHeight="15" outlineLevelCol="1" x14ac:dyDescent="0.25"/>
  <cols>
    <col min="1" max="1" width="9.140625" style="113"/>
    <col min="2" max="2" width="25.5703125" style="49" customWidth="1"/>
    <col min="3" max="3" width="26.28515625" style="49" customWidth="1"/>
    <col min="4" max="4" width="7.28515625" style="50" hidden="1" customWidth="1" outlineLevel="1"/>
    <col min="5" max="5" width="6.7109375" style="50" hidden="1" customWidth="1" outlineLevel="1"/>
    <col min="6" max="6" width="7.140625" style="50" hidden="1" customWidth="1" outlineLevel="1"/>
    <col min="7" max="7" width="9.28515625" style="50" hidden="1" customWidth="1" outlineLevel="1"/>
    <col min="8" max="9" width="9.140625" style="50" hidden="1" customWidth="1"/>
    <col min="10" max="10" width="12.28515625" style="50" customWidth="1"/>
    <col min="11" max="11" width="12.42578125" style="50" customWidth="1" outlineLevel="1"/>
    <col min="12" max="12" width="11.140625" style="50" customWidth="1" outlineLevel="1"/>
    <col min="13" max="13" width="8.28515625" style="50" customWidth="1" outlineLevel="1"/>
    <col min="14" max="14" width="15.28515625" style="52" customWidth="1"/>
    <col min="15" max="15" width="17.42578125" style="50" customWidth="1"/>
    <col min="16" max="16" width="17.85546875" style="50" hidden="1" customWidth="1"/>
    <col min="17" max="17" width="16" style="50" hidden="1" customWidth="1"/>
    <col min="18" max="18" width="13.7109375" style="67" customWidth="1"/>
    <col min="19" max="19" width="12.5703125" style="67" customWidth="1"/>
    <col min="20" max="20" width="11.85546875" style="67" hidden="1" customWidth="1"/>
    <col min="21" max="22" width="12.42578125" style="67" customWidth="1"/>
    <col min="23" max="23" width="12.42578125" style="79" customWidth="1"/>
    <col min="24" max="24" width="12.28515625" style="98" customWidth="1"/>
    <col min="25" max="25" width="14.7109375" style="52" customWidth="1"/>
    <col min="26" max="27" width="17.140625" style="52" customWidth="1"/>
    <col min="28" max="29" width="14.7109375" style="52" customWidth="1"/>
    <col min="30" max="32" width="14.42578125" style="52" customWidth="1"/>
    <col min="33" max="33" width="12.140625" style="50" customWidth="1"/>
    <col min="34" max="37" width="9.140625" style="50" customWidth="1"/>
    <col min="38" max="38" width="9.28515625" style="50" customWidth="1"/>
    <col min="39" max="39" width="9.5703125" style="50" customWidth="1"/>
    <col min="40" max="16384" width="9.140625" style="50"/>
  </cols>
  <sheetData>
    <row r="1" spans="1:38" x14ac:dyDescent="0.25">
      <c r="G1" s="51" t="s">
        <v>474</v>
      </c>
    </row>
    <row r="2" spans="1:38" x14ac:dyDescent="0.25">
      <c r="D2" s="50" t="s">
        <v>475</v>
      </c>
    </row>
    <row r="3" spans="1:38" ht="45" customHeight="1" x14ac:dyDescent="0.25">
      <c r="B3" s="303" t="s">
        <v>476</v>
      </c>
      <c r="C3" s="267" t="s">
        <v>13</v>
      </c>
      <c r="D3" s="295" t="s">
        <v>477</v>
      </c>
      <c r="E3" s="295" t="s">
        <v>478</v>
      </c>
      <c r="F3" s="295" t="s">
        <v>479</v>
      </c>
      <c r="G3" s="291" t="s">
        <v>480</v>
      </c>
      <c r="H3" s="291" t="s">
        <v>481</v>
      </c>
      <c r="I3" s="293" t="s">
        <v>482</v>
      </c>
      <c r="J3" s="297" t="s">
        <v>564</v>
      </c>
      <c r="K3" s="298"/>
      <c r="L3" s="299"/>
      <c r="M3" s="295" t="s">
        <v>16</v>
      </c>
      <c r="N3" s="265" t="s">
        <v>565</v>
      </c>
      <c r="O3" s="267" t="s">
        <v>566</v>
      </c>
      <c r="P3" s="267" t="s">
        <v>483</v>
      </c>
      <c r="Q3" s="281" t="s">
        <v>484</v>
      </c>
      <c r="R3" s="283" t="s">
        <v>544</v>
      </c>
      <c r="S3" s="285" t="s">
        <v>545</v>
      </c>
      <c r="T3" s="285" t="s">
        <v>548</v>
      </c>
      <c r="U3" s="285" t="s">
        <v>549</v>
      </c>
      <c r="V3" s="279" t="s">
        <v>552</v>
      </c>
      <c r="W3" s="275" t="s">
        <v>550</v>
      </c>
      <c r="X3" s="277" t="s">
        <v>551</v>
      </c>
      <c r="Y3" s="271" t="s">
        <v>555</v>
      </c>
      <c r="Z3" s="271" t="s">
        <v>557</v>
      </c>
      <c r="AA3" s="125"/>
      <c r="AB3" s="271" t="s">
        <v>556</v>
      </c>
      <c r="AC3" s="125"/>
      <c r="AD3" s="289" t="s">
        <v>567</v>
      </c>
      <c r="AE3" s="125"/>
      <c r="AF3" s="125"/>
      <c r="AG3" s="273" t="s">
        <v>561</v>
      </c>
      <c r="AH3" s="287"/>
      <c r="AI3" s="287"/>
      <c r="AJ3" s="121"/>
      <c r="AK3" s="287"/>
      <c r="AL3" s="273" t="s">
        <v>558</v>
      </c>
    </row>
    <row r="4" spans="1:38" ht="42.75" customHeight="1" x14ac:dyDescent="0.25">
      <c r="B4" s="304"/>
      <c r="C4" s="268"/>
      <c r="D4" s="296"/>
      <c r="E4" s="296"/>
      <c r="F4" s="296"/>
      <c r="G4" s="292"/>
      <c r="H4" s="292"/>
      <c r="I4" s="294"/>
      <c r="J4" s="300"/>
      <c r="K4" s="301"/>
      <c r="L4" s="302"/>
      <c r="M4" s="296"/>
      <c r="N4" s="266"/>
      <c r="O4" s="268"/>
      <c r="P4" s="268"/>
      <c r="Q4" s="282"/>
      <c r="R4" s="284"/>
      <c r="S4" s="286"/>
      <c r="T4" s="286"/>
      <c r="U4" s="286"/>
      <c r="V4" s="280"/>
      <c r="W4" s="276"/>
      <c r="X4" s="278"/>
      <c r="Y4" s="272"/>
      <c r="Z4" s="272"/>
      <c r="AA4" s="126" t="s">
        <v>562</v>
      </c>
      <c r="AB4" s="272"/>
      <c r="AC4" s="126" t="s">
        <v>562</v>
      </c>
      <c r="AD4" s="290"/>
      <c r="AE4" s="126" t="s">
        <v>562</v>
      </c>
      <c r="AF4" s="126" t="s">
        <v>560</v>
      </c>
      <c r="AG4" s="274"/>
      <c r="AH4" s="288"/>
      <c r="AI4" s="288"/>
      <c r="AJ4" s="122"/>
      <c r="AK4" s="288"/>
      <c r="AL4" s="274"/>
    </row>
    <row r="5" spans="1:38" x14ac:dyDescent="0.25">
      <c r="A5" s="113">
        <v>1</v>
      </c>
      <c r="B5" s="53" t="s">
        <v>485</v>
      </c>
      <c r="C5" s="60" t="s">
        <v>486</v>
      </c>
      <c r="D5" s="54">
        <v>1</v>
      </c>
      <c r="E5" s="54">
        <v>12</v>
      </c>
      <c r="F5" s="54" t="s">
        <v>487</v>
      </c>
      <c r="G5" s="54"/>
      <c r="H5" s="54">
        <v>3</v>
      </c>
      <c r="I5" s="54">
        <v>2</v>
      </c>
      <c r="J5" s="54">
        <v>46</v>
      </c>
      <c r="K5" s="54">
        <v>44.6</v>
      </c>
      <c r="L5" s="54">
        <v>24.8</v>
      </c>
      <c r="M5" s="54">
        <v>2012</v>
      </c>
      <c r="N5" s="55">
        <f>J5*26000</f>
        <v>1196000</v>
      </c>
      <c r="O5" s="107">
        <v>1277674.48</v>
      </c>
      <c r="P5" s="56">
        <f t="shared" ref="P5:P55" si="0">N5-O5</f>
        <v>-81674.479999999981</v>
      </c>
      <c r="Q5" s="57">
        <f t="shared" ref="Q5:Q55" si="1">IF(P5&gt;0,P5/N5,0)</f>
        <v>0</v>
      </c>
      <c r="R5" s="101">
        <f t="shared" ref="R5:R56" si="2">N5/J5</f>
        <v>26000</v>
      </c>
      <c r="S5" s="99">
        <f t="shared" ref="S5:S56" si="3">IF(P5&gt;0,(N5-P5)/J5,R5)</f>
        <v>26000</v>
      </c>
      <c r="T5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5" s="99">
        <v>20000</v>
      </c>
      <c r="V5" s="106">
        <f t="shared" ref="V5:V56" si="4">J5*U5</f>
        <v>920000</v>
      </c>
      <c r="W5" s="100">
        <f t="shared" ref="W5:W36" si="5">IF(U5&gt;0,(O5-J5*U5)/O5,0)</f>
        <v>0.27994178924196716</v>
      </c>
      <c r="X5" s="102">
        <f t="shared" ref="X5:X36" si="6">IF(U5&gt;0,J5*U5-O5,0)</f>
        <v>-357674.48</v>
      </c>
      <c r="Y5" s="123">
        <v>1334000</v>
      </c>
      <c r="Z5" s="123">
        <v>815846.30461538467</v>
      </c>
      <c r="AA5" s="123">
        <f t="shared" ref="AA5:AA36" si="7">Z5/J5</f>
        <v>17735.789230769231</v>
      </c>
      <c r="AB5" s="123">
        <v>1096000</v>
      </c>
      <c r="AC5" s="123">
        <f>AB5/J5</f>
        <v>23826.08695652174</v>
      </c>
      <c r="AD5" s="128">
        <f>AE5*J5</f>
        <v>1058000</v>
      </c>
      <c r="AE5" s="123">
        <v>23000</v>
      </c>
      <c r="AF5" s="123">
        <f t="shared" ref="AF5:AF36" si="8">AD5-O5</f>
        <v>-219674.47999999998</v>
      </c>
      <c r="AG5" s="115"/>
      <c r="AH5" s="115"/>
      <c r="AI5" s="115"/>
      <c r="AJ5" s="115"/>
      <c r="AK5" s="115"/>
      <c r="AL5" s="115"/>
    </row>
    <row r="6" spans="1:38" x14ac:dyDescent="0.25">
      <c r="A6" s="113">
        <v>2</v>
      </c>
      <c r="B6" s="53" t="s">
        <v>485</v>
      </c>
      <c r="C6" s="60" t="s">
        <v>486</v>
      </c>
      <c r="D6" s="54">
        <v>2</v>
      </c>
      <c r="E6" s="54">
        <v>13</v>
      </c>
      <c r="F6" s="54" t="s">
        <v>487</v>
      </c>
      <c r="G6" s="54"/>
      <c r="H6" s="54">
        <v>1</v>
      </c>
      <c r="I6" s="54">
        <v>2</v>
      </c>
      <c r="J6" s="54">
        <v>46.1</v>
      </c>
      <c r="K6" s="54">
        <v>44.7</v>
      </c>
      <c r="L6" s="54">
        <v>25</v>
      </c>
      <c r="M6" s="54">
        <v>2012</v>
      </c>
      <c r="N6" s="55">
        <f>J6*26000</f>
        <v>1198600</v>
      </c>
      <c r="O6" s="107">
        <v>1454043.35</v>
      </c>
      <c r="P6" s="56">
        <f t="shared" si="0"/>
        <v>-255443.35000000009</v>
      </c>
      <c r="Q6" s="57">
        <f t="shared" si="1"/>
        <v>0</v>
      </c>
      <c r="R6" s="101">
        <f t="shared" si="2"/>
        <v>26000</v>
      </c>
      <c r="S6" s="99">
        <f t="shared" si="3"/>
        <v>26000</v>
      </c>
      <c r="T6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6" s="99">
        <v>20000</v>
      </c>
      <c r="V6" s="106">
        <f t="shared" si="4"/>
        <v>922000</v>
      </c>
      <c r="W6" s="100">
        <f t="shared" si="5"/>
        <v>0.36590611277167223</v>
      </c>
      <c r="X6" s="102">
        <f t="shared" si="6"/>
        <v>-532043.35000000009</v>
      </c>
      <c r="Y6" s="123">
        <v>1336900</v>
      </c>
      <c r="Z6" s="123">
        <v>817619.88353846152</v>
      </c>
      <c r="AA6" s="123">
        <f t="shared" si="7"/>
        <v>17735.789230769231</v>
      </c>
      <c r="AB6" s="123">
        <v>1098600</v>
      </c>
      <c r="AC6" s="123">
        <f>AB6/J6</f>
        <v>23830.802603036875</v>
      </c>
      <c r="AD6" s="128">
        <f t="shared" ref="AD6:AD26" si="9">AE6*J6</f>
        <v>1060300</v>
      </c>
      <c r="AE6" s="123">
        <v>23000</v>
      </c>
      <c r="AF6" s="123">
        <f t="shared" si="8"/>
        <v>-393743.35000000009</v>
      </c>
      <c r="AG6" s="115"/>
      <c r="AH6" s="115"/>
      <c r="AI6" s="115"/>
      <c r="AJ6" s="115"/>
      <c r="AK6" s="115"/>
      <c r="AL6" s="115"/>
    </row>
    <row r="7" spans="1:38" x14ac:dyDescent="0.25">
      <c r="A7" s="113">
        <v>3</v>
      </c>
      <c r="B7" s="53" t="s">
        <v>485</v>
      </c>
      <c r="C7" s="60" t="s">
        <v>486</v>
      </c>
      <c r="D7" s="54">
        <v>3</v>
      </c>
      <c r="E7" s="54">
        <v>21</v>
      </c>
      <c r="F7" s="54" t="s">
        <v>487</v>
      </c>
      <c r="G7" s="54"/>
      <c r="H7" s="54">
        <v>3</v>
      </c>
      <c r="I7" s="54">
        <v>2</v>
      </c>
      <c r="J7" s="54">
        <v>46.1</v>
      </c>
      <c r="K7" s="54">
        <v>44.7</v>
      </c>
      <c r="L7" s="54">
        <v>25</v>
      </c>
      <c r="M7" s="54">
        <v>2012</v>
      </c>
      <c r="N7" s="55">
        <f>J7*26000</f>
        <v>1198600</v>
      </c>
      <c r="O7" s="107">
        <v>1454043.37</v>
      </c>
      <c r="P7" s="56">
        <f t="shared" si="0"/>
        <v>-255443.37000000011</v>
      </c>
      <c r="Q7" s="57">
        <f t="shared" si="1"/>
        <v>0</v>
      </c>
      <c r="R7" s="101">
        <f t="shared" si="2"/>
        <v>26000</v>
      </c>
      <c r="S7" s="99">
        <f t="shared" si="3"/>
        <v>26000</v>
      </c>
      <c r="T7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7" s="99">
        <v>20000</v>
      </c>
      <c r="V7" s="106">
        <f t="shared" si="4"/>
        <v>922000</v>
      </c>
      <c r="W7" s="100">
        <f t="shared" si="5"/>
        <v>0.36590612149347379</v>
      </c>
      <c r="X7" s="102">
        <f t="shared" si="6"/>
        <v>-532043.37000000011</v>
      </c>
      <c r="Y7" s="123">
        <v>1336900</v>
      </c>
      <c r="Z7" s="123">
        <v>817619.88353846152</v>
      </c>
      <c r="AA7" s="123">
        <f t="shared" si="7"/>
        <v>17735.789230769231</v>
      </c>
      <c r="AB7" s="123">
        <v>1098600</v>
      </c>
      <c r="AC7" s="123">
        <f>AB7/J7</f>
        <v>23830.802603036875</v>
      </c>
      <c r="AD7" s="128">
        <f t="shared" si="9"/>
        <v>1060300</v>
      </c>
      <c r="AE7" s="123">
        <v>23000</v>
      </c>
      <c r="AF7" s="123">
        <f t="shared" si="8"/>
        <v>-393743.37000000011</v>
      </c>
      <c r="AG7" s="115"/>
      <c r="AH7" s="115"/>
      <c r="AI7" s="115"/>
      <c r="AJ7" s="115"/>
      <c r="AK7" s="115"/>
      <c r="AL7" s="115"/>
    </row>
    <row r="8" spans="1:38" x14ac:dyDescent="0.25">
      <c r="A8" s="113">
        <v>4</v>
      </c>
      <c r="B8" s="53" t="s">
        <v>488</v>
      </c>
      <c r="C8" s="60" t="s">
        <v>489</v>
      </c>
      <c r="D8" s="54">
        <v>12</v>
      </c>
      <c r="E8" s="54">
        <v>12</v>
      </c>
      <c r="F8" s="54">
        <v>12</v>
      </c>
      <c r="G8" s="54" t="s">
        <v>487</v>
      </c>
      <c r="H8" s="54">
        <v>3</v>
      </c>
      <c r="I8" s="54">
        <v>2</v>
      </c>
      <c r="J8" s="54">
        <v>46.1</v>
      </c>
      <c r="K8" s="54">
        <v>44.2</v>
      </c>
      <c r="L8" s="54">
        <v>23.1</v>
      </c>
      <c r="M8" s="54">
        <v>2013</v>
      </c>
      <c r="N8" s="55">
        <f>J8*28000</f>
        <v>1290800</v>
      </c>
      <c r="O8" s="107">
        <v>1859073.95</v>
      </c>
      <c r="P8" s="56">
        <f t="shared" si="0"/>
        <v>-568273.94999999995</v>
      </c>
      <c r="Q8" s="57">
        <f t="shared" si="1"/>
        <v>0</v>
      </c>
      <c r="R8" s="101">
        <f t="shared" si="2"/>
        <v>28000</v>
      </c>
      <c r="S8" s="99">
        <f t="shared" si="3"/>
        <v>28000</v>
      </c>
      <c r="T8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8" s="99">
        <v>23200</v>
      </c>
      <c r="V8" s="106">
        <f t="shared" si="4"/>
        <v>1069520</v>
      </c>
      <c r="W8" s="100">
        <f t="shared" si="5"/>
        <v>0.42470282045531321</v>
      </c>
      <c r="X8" s="102">
        <f t="shared" si="6"/>
        <v>-789553.95</v>
      </c>
      <c r="Y8" s="123">
        <v>1475200</v>
      </c>
      <c r="Z8" s="123">
        <v>1082550.4323800001</v>
      </c>
      <c r="AA8" s="123">
        <f t="shared" si="7"/>
        <v>23482.6558</v>
      </c>
      <c r="AB8" s="123">
        <v>1152500</v>
      </c>
      <c r="AC8" s="123">
        <f>AB8/J8</f>
        <v>25000</v>
      </c>
      <c r="AD8" s="128">
        <f t="shared" si="9"/>
        <v>1060300</v>
      </c>
      <c r="AE8" s="123">
        <v>23000</v>
      </c>
      <c r="AF8" s="123">
        <f t="shared" si="8"/>
        <v>-798773.95</v>
      </c>
      <c r="AG8" s="115"/>
      <c r="AH8" s="115"/>
      <c r="AI8" s="115"/>
      <c r="AJ8" s="115"/>
      <c r="AK8" s="115"/>
      <c r="AL8" s="115"/>
    </row>
    <row r="9" spans="1:38" x14ac:dyDescent="0.25">
      <c r="A9" s="113">
        <v>5</v>
      </c>
      <c r="B9" s="53" t="s">
        <v>488</v>
      </c>
      <c r="C9" s="60" t="s">
        <v>489</v>
      </c>
      <c r="D9" s="54">
        <v>8</v>
      </c>
      <c r="E9" s="54">
        <v>8</v>
      </c>
      <c r="F9" s="54">
        <v>8</v>
      </c>
      <c r="G9" s="54"/>
      <c r="H9" s="54">
        <v>2</v>
      </c>
      <c r="I9" s="54">
        <v>2</v>
      </c>
      <c r="J9" s="54">
        <v>46.2</v>
      </c>
      <c r="K9" s="54">
        <v>44.4</v>
      </c>
      <c r="L9" s="54">
        <v>23.1</v>
      </c>
      <c r="M9" s="54">
        <v>2013</v>
      </c>
      <c r="N9" s="55">
        <f>J9*28000</f>
        <v>1293600</v>
      </c>
      <c r="O9" s="107">
        <v>1144096.83</v>
      </c>
      <c r="P9" s="56">
        <f t="shared" si="0"/>
        <v>149503.16999999993</v>
      </c>
      <c r="Q9" s="57">
        <f t="shared" si="1"/>
        <v>0.11557140538033389</v>
      </c>
      <c r="R9" s="101">
        <f t="shared" si="2"/>
        <v>28000</v>
      </c>
      <c r="S9" s="99">
        <f t="shared" si="3"/>
        <v>24764.000649350648</v>
      </c>
      <c r="T9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9" s="99">
        <v>23200</v>
      </c>
      <c r="V9" s="106">
        <f t="shared" si="4"/>
        <v>1071840</v>
      </c>
      <c r="W9" s="100">
        <f t="shared" si="5"/>
        <v>6.3156219041355155E-2</v>
      </c>
      <c r="X9" s="102">
        <f t="shared" si="6"/>
        <v>-72256.830000000075</v>
      </c>
      <c r="Y9" s="123">
        <v>1478400</v>
      </c>
      <c r="Z9" s="123">
        <v>1084898.69796</v>
      </c>
      <c r="AA9" s="123">
        <f t="shared" si="7"/>
        <v>23482.6558</v>
      </c>
      <c r="AB9" s="123">
        <v>1155000</v>
      </c>
      <c r="AC9" s="123">
        <f>AB9/J9</f>
        <v>25000</v>
      </c>
      <c r="AD9" s="128">
        <f t="shared" si="9"/>
        <v>1062600</v>
      </c>
      <c r="AE9" s="123">
        <v>23000</v>
      </c>
      <c r="AF9" s="123">
        <f t="shared" si="8"/>
        <v>-81496.830000000075</v>
      </c>
      <c r="AG9" s="115"/>
      <c r="AH9" s="115"/>
      <c r="AI9" s="115"/>
      <c r="AJ9" s="115"/>
      <c r="AK9" s="115"/>
      <c r="AL9" s="115"/>
    </row>
    <row r="10" spans="1:38" ht="15" customHeight="1" x14ac:dyDescent="0.25">
      <c r="A10" s="113">
        <v>6</v>
      </c>
      <c r="B10" s="53" t="s">
        <v>490</v>
      </c>
      <c r="C10" s="60" t="s">
        <v>491</v>
      </c>
      <c r="D10" s="54">
        <v>1</v>
      </c>
      <c r="E10" s="54">
        <v>1</v>
      </c>
      <c r="F10" s="54">
        <v>1</v>
      </c>
      <c r="G10" s="54" t="s">
        <v>487</v>
      </c>
      <c r="H10" s="54">
        <v>1</v>
      </c>
      <c r="I10" s="54">
        <v>3</v>
      </c>
      <c r="J10" s="54">
        <v>60</v>
      </c>
      <c r="K10" s="54">
        <v>57.9</v>
      </c>
      <c r="L10" s="54">
        <v>37.5</v>
      </c>
      <c r="M10" s="54">
        <v>2013</v>
      </c>
      <c r="N10" s="55">
        <f>J10*25000</f>
        <v>1500000</v>
      </c>
      <c r="O10" s="107">
        <v>1625192.82</v>
      </c>
      <c r="P10" s="56">
        <f t="shared" si="0"/>
        <v>-125192.82000000007</v>
      </c>
      <c r="Q10" s="57">
        <f t="shared" si="1"/>
        <v>0</v>
      </c>
      <c r="R10" s="101">
        <f t="shared" si="2"/>
        <v>25000</v>
      </c>
      <c r="S10" s="99">
        <f t="shared" si="3"/>
        <v>25000</v>
      </c>
      <c r="T10" s="99">
        <v>0</v>
      </c>
      <c r="U10" s="99">
        <v>0</v>
      </c>
      <c r="V10" s="106">
        <f t="shared" si="4"/>
        <v>0</v>
      </c>
      <c r="W10" s="100">
        <f t="shared" si="5"/>
        <v>0</v>
      </c>
      <c r="X10" s="102">
        <f t="shared" si="6"/>
        <v>0</v>
      </c>
      <c r="Y10" s="123">
        <v>1704000</v>
      </c>
      <c r="Z10" s="123"/>
      <c r="AA10" s="123">
        <f t="shared" si="7"/>
        <v>0</v>
      </c>
      <c r="AB10" s="269" t="s">
        <v>554</v>
      </c>
      <c r="AC10" s="123">
        <f>N10/J10</f>
        <v>25000</v>
      </c>
      <c r="AD10" s="128">
        <f t="shared" si="9"/>
        <v>1500000</v>
      </c>
      <c r="AE10" s="127">
        <v>25000</v>
      </c>
      <c r="AF10" s="123">
        <f t="shared" si="8"/>
        <v>-125192.82000000007</v>
      </c>
      <c r="AG10" s="120"/>
      <c r="AH10" s="120"/>
      <c r="AI10" s="120"/>
      <c r="AJ10" s="120"/>
      <c r="AK10" s="120"/>
      <c r="AL10" s="115"/>
    </row>
    <row r="11" spans="1:38" ht="30" x14ac:dyDescent="0.25">
      <c r="A11" s="113">
        <v>7</v>
      </c>
      <c r="B11" s="53" t="s">
        <v>490</v>
      </c>
      <c r="C11" s="60" t="s">
        <v>492</v>
      </c>
      <c r="D11" s="54">
        <v>3</v>
      </c>
      <c r="E11" s="54">
        <v>3</v>
      </c>
      <c r="F11" s="54">
        <v>3</v>
      </c>
      <c r="G11" s="54" t="s">
        <v>487</v>
      </c>
      <c r="H11" s="54">
        <v>1</v>
      </c>
      <c r="I11" s="54">
        <v>2</v>
      </c>
      <c r="J11" s="54">
        <v>46.7</v>
      </c>
      <c r="K11" s="54">
        <v>45.5</v>
      </c>
      <c r="L11" s="54">
        <v>28.9</v>
      </c>
      <c r="M11" s="54">
        <v>2013</v>
      </c>
      <c r="N11" s="55">
        <f>J11*25000</f>
        <v>1167500</v>
      </c>
      <c r="O11" s="107">
        <v>1275137.75</v>
      </c>
      <c r="P11" s="56">
        <f t="shared" si="0"/>
        <v>-107637.75</v>
      </c>
      <c r="Q11" s="57">
        <f t="shared" si="1"/>
        <v>0</v>
      </c>
      <c r="R11" s="101">
        <f t="shared" si="2"/>
        <v>25000</v>
      </c>
      <c r="S11" s="99">
        <f t="shared" si="3"/>
        <v>25000</v>
      </c>
      <c r="T11" s="99">
        <v>0</v>
      </c>
      <c r="U11" s="99">
        <v>0</v>
      </c>
      <c r="V11" s="106">
        <f t="shared" si="4"/>
        <v>0</v>
      </c>
      <c r="W11" s="100">
        <f t="shared" si="5"/>
        <v>0</v>
      </c>
      <c r="X11" s="102">
        <f t="shared" si="6"/>
        <v>0</v>
      </c>
      <c r="Y11" s="123">
        <v>1326280</v>
      </c>
      <c r="Z11" s="123"/>
      <c r="AA11" s="123">
        <f t="shared" si="7"/>
        <v>0</v>
      </c>
      <c r="AB11" s="270"/>
      <c r="AC11" s="123">
        <f>N11/J11</f>
        <v>25000</v>
      </c>
      <c r="AD11" s="128">
        <f t="shared" si="9"/>
        <v>1167500</v>
      </c>
      <c r="AE11" s="127">
        <v>25000</v>
      </c>
      <c r="AF11" s="123">
        <f t="shared" si="8"/>
        <v>-107637.75</v>
      </c>
      <c r="AG11" s="120"/>
      <c r="AH11" s="120"/>
      <c r="AI11" s="120"/>
      <c r="AJ11" s="120"/>
      <c r="AK11" s="120"/>
      <c r="AL11" s="115"/>
    </row>
    <row r="12" spans="1:38" x14ac:dyDescent="0.25">
      <c r="A12" s="113">
        <v>8</v>
      </c>
      <c r="B12" s="53" t="s">
        <v>490</v>
      </c>
      <c r="C12" s="60" t="s">
        <v>491</v>
      </c>
      <c r="D12" s="54">
        <v>10</v>
      </c>
      <c r="E12" s="54">
        <v>10</v>
      </c>
      <c r="F12" s="54">
        <v>10</v>
      </c>
      <c r="G12" s="54" t="s">
        <v>487</v>
      </c>
      <c r="H12" s="54">
        <v>1</v>
      </c>
      <c r="I12" s="54">
        <v>2</v>
      </c>
      <c r="J12" s="54">
        <v>47.2</v>
      </c>
      <c r="K12" s="54">
        <v>46</v>
      </c>
      <c r="L12" s="54">
        <v>27.5</v>
      </c>
      <c r="M12" s="54">
        <v>2013</v>
      </c>
      <c r="N12" s="55">
        <f>J12*25000</f>
        <v>1180000</v>
      </c>
      <c r="O12" s="107">
        <v>1212541.1000000001</v>
      </c>
      <c r="P12" s="56">
        <f t="shared" si="0"/>
        <v>-32541.100000000093</v>
      </c>
      <c r="Q12" s="57">
        <f t="shared" si="1"/>
        <v>0</v>
      </c>
      <c r="R12" s="101">
        <f t="shared" si="2"/>
        <v>25000</v>
      </c>
      <c r="S12" s="99">
        <f t="shared" si="3"/>
        <v>25000</v>
      </c>
      <c r="T12" s="99">
        <v>0</v>
      </c>
      <c r="U12" s="99">
        <v>0</v>
      </c>
      <c r="V12" s="106">
        <f t="shared" si="4"/>
        <v>0</v>
      </c>
      <c r="W12" s="100">
        <f t="shared" si="5"/>
        <v>0</v>
      </c>
      <c r="X12" s="102">
        <f t="shared" si="6"/>
        <v>0</v>
      </c>
      <c r="Y12" s="123">
        <v>1340480</v>
      </c>
      <c r="Z12" s="123"/>
      <c r="AA12" s="123">
        <f t="shared" si="7"/>
        <v>0</v>
      </c>
      <c r="AB12" s="270"/>
      <c r="AC12" s="123">
        <f>N12/J12</f>
        <v>25000</v>
      </c>
      <c r="AD12" s="128">
        <f t="shared" si="9"/>
        <v>1180000</v>
      </c>
      <c r="AE12" s="127">
        <v>25000</v>
      </c>
      <c r="AF12" s="123">
        <f t="shared" si="8"/>
        <v>-32541.100000000093</v>
      </c>
      <c r="AG12" s="120"/>
      <c r="AH12" s="120"/>
      <c r="AI12" s="120"/>
      <c r="AJ12" s="120"/>
      <c r="AK12" s="120"/>
      <c r="AL12" s="115"/>
    </row>
    <row r="13" spans="1:38" ht="30" x14ac:dyDescent="0.25">
      <c r="A13" s="113">
        <v>9</v>
      </c>
      <c r="B13" s="53" t="s">
        <v>490</v>
      </c>
      <c r="C13" s="60" t="s">
        <v>492</v>
      </c>
      <c r="D13" s="54"/>
      <c r="E13" s="54"/>
      <c r="F13" s="54">
        <v>4</v>
      </c>
      <c r="G13" s="54" t="s">
        <v>487</v>
      </c>
      <c r="H13" s="54">
        <v>2</v>
      </c>
      <c r="I13" s="54">
        <v>3</v>
      </c>
      <c r="J13" s="54">
        <v>59.6</v>
      </c>
      <c r="K13" s="54">
        <v>57.5</v>
      </c>
      <c r="L13" s="54">
        <v>37.1</v>
      </c>
      <c r="M13" s="54">
        <v>2013</v>
      </c>
      <c r="N13" s="55">
        <f>J13*25000</f>
        <v>1490000</v>
      </c>
      <c r="O13" s="107">
        <v>1614715.8</v>
      </c>
      <c r="P13" s="56">
        <f t="shared" si="0"/>
        <v>-124715.80000000005</v>
      </c>
      <c r="Q13" s="57">
        <f t="shared" si="1"/>
        <v>0</v>
      </c>
      <c r="R13" s="101">
        <f t="shared" si="2"/>
        <v>25000</v>
      </c>
      <c r="S13" s="99">
        <f t="shared" si="3"/>
        <v>25000</v>
      </c>
      <c r="T13" s="99">
        <v>0</v>
      </c>
      <c r="U13" s="99">
        <v>0</v>
      </c>
      <c r="V13" s="106">
        <f t="shared" si="4"/>
        <v>0</v>
      </c>
      <c r="W13" s="100">
        <f t="shared" si="5"/>
        <v>0</v>
      </c>
      <c r="X13" s="102">
        <f t="shared" si="6"/>
        <v>0</v>
      </c>
      <c r="Y13" s="123">
        <v>1692640</v>
      </c>
      <c r="Z13" s="123"/>
      <c r="AA13" s="123">
        <f t="shared" si="7"/>
        <v>0</v>
      </c>
      <c r="AB13" s="270"/>
      <c r="AC13" s="123">
        <f>N13/J13</f>
        <v>25000</v>
      </c>
      <c r="AD13" s="128">
        <f t="shared" si="9"/>
        <v>1490000</v>
      </c>
      <c r="AE13" s="127">
        <v>25000</v>
      </c>
      <c r="AF13" s="123">
        <f t="shared" si="8"/>
        <v>-124715.80000000005</v>
      </c>
      <c r="AG13" s="120"/>
      <c r="AH13" s="120"/>
      <c r="AI13" s="120"/>
      <c r="AJ13" s="120"/>
      <c r="AK13" s="120"/>
      <c r="AL13" s="115"/>
    </row>
    <row r="14" spans="1:38" ht="30" x14ac:dyDescent="0.25">
      <c r="A14" s="113">
        <v>10</v>
      </c>
      <c r="B14" s="53" t="s">
        <v>493</v>
      </c>
      <c r="C14" s="60" t="s">
        <v>494</v>
      </c>
      <c r="D14" s="54">
        <v>30</v>
      </c>
      <c r="E14" s="54">
        <v>30</v>
      </c>
      <c r="F14" s="54">
        <v>30</v>
      </c>
      <c r="G14" s="54" t="s">
        <v>487</v>
      </c>
      <c r="H14" s="54">
        <v>3</v>
      </c>
      <c r="I14" s="54">
        <v>3</v>
      </c>
      <c r="J14" s="54">
        <v>59.2</v>
      </c>
      <c r="K14" s="54">
        <v>56.5</v>
      </c>
      <c r="L14" s="54">
        <v>38</v>
      </c>
      <c r="M14" s="54">
        <v>2014</v>
      </c>
      <c r="N14" s="55">
        <f t="shared" ref="N14:N26" si="10">J14*26000</f>
        <v>1539200</v>
      </c>
      <c r="O14" s="107">
        <v>1642227.35</v>
      </c>
      <c r="P14" s="56">
        <f t="shared" si="0"/>
        <v>-103027.35000000009</v>
      </c>
      <c r="Q14" s="57">
        <f t="shared" si="1"/>
        <v>0</v>
      </c>
      <c r="R14" s="101">
        <f t="shared" si="2"/>
        <v>26000</v>
      </c>
      <c r="S14" s="99">
        <f t="shared" si="3"/>
        <v>26000</v>
      </c>
      <c r="T14" s="99">
        <f>GETPIVOTDATA("Среднее по полю Удельная цена сделки/ предложения, руб./кв.м.",'Росреестр анализ'!$A$3,"Город / Нас.пункт","Буздяк")</f>
        <v>23137.839</v>
      </c>
      <c r="U14" s="99">
        <v>23000</v>
      </c>
      <c r="V14" s="106">
        <f t="shared" si="4"/>
        <v>1361600</v>
      </c>
      <c r="W14" s="100">
        <f t="shared" si="5"/>
        <v>0.17088215587202349</v>
      </c>
      <c r="X14" s="102">
        <f t="shared" si="6"/>
        <v>-280627.35000000009</v>
      </c>
      <c r="Y14" s="123">
        <v>1699040</v>
      </c>
      <c r="Z14" s="123">
        <v>1369760.0688</v>
      </c>
      <c r="AA14" s="123">
        <f t="shared" si="7"/>
        <v>23137.839</v>
      </c>
      <c r="AB14" s="123">
        <v>1300000</v>
      </c>
      <c r="AC14" s="123">
        <f t="shared" ref="AC14:AC45" si="11">AB14/J14</f>
        <v>21959.45945945946</v>
      </c>
      <c r="AD14" s="128">
        <f t="shared" si="9"/>
        <v>1243200</v>
      </c>
      <c r="AE14" s="123">
        <v>21000</v>
      </c>
      <c r="AF14" s="123">
        <f t="shared" si="8"/>
        <v>-399027.35000000009</v>
      </c>
      <c r="AG14" s="115"/>
      <c r="AH14" s="115"/>
      <c r="AI14" s="115"/>
      <c r="AJ14" s="115"/>
      <c r="AK14" s="115"/>
      <c r="AL14" s="115"/>
    </row>
    <row r="15" spans="1:38" x14ac:dyDescent="0.25">
      <c r="A15" s="113">
        <v>11</v>
      </c>
      <c r="B15" s="53" t="s">
        <v>485</v>
      </c>
      <c r="C15" s="60" t="s">
        <v>495</v>
      </c>
      <c r="D15" s="54">
        <v>8</v>
      </c>
      <c r="E15" s="54">
        <v>8</v>
      </c>
      <c r="F15" s="54">
        <v>8</v>
      </c>
      <c r="G15" s="54" t="s">
        <v>487</v>
      </c>
      <c r="H15" s="54">
        <v>2</v>
      </c>
      <c r="I15" s="54">
        <v>2</v>
      </c>
      <c r="J15" s="54">
        <v>47.8</v>
      </c>
      <c r="K15" s="54">
        <v>45.6</v>
      </c>
      <c r="L15" s="54">
        <v>25.3</v>
      </c>
      <c r="M15" s="54">
        <v>2014</v>
      </c>
      <c r="N15" s="55">
        <f t="shared" si="10"/>
        <v>1242800</v>
      </c>
      <c r="O15" s="107">
        <v>1104265.96</v>
      </c>
      <c r="P15" s="56">
        <f t="shared" si="0"/>
        <v>138534.04000000004</v>
      </c>
      <c r="Q15" s="57">
        <f t="shared" si="1"/>
        <v>0.11146929514000646</v>
      </c>
      <c r="R15" s="101">
        <f t="shared" si="2"/>
        <v>26000</v>
      </c>
      <c r="S15" s="99">
        <f t="shared" si="3"/>
        <v>23101.798326359833</v>
      </c>
      <c r="T15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15" s="99">
        <v>20000</v>
      </c>
      <c r="V15" s="106">
        <f t="shared" si="4"/>
        <v>956000</v>
      </c>
      <c r="W15" s="100">
        <f t="shared" si="5"/>
        <v>0.13426653122586515</v>
      </c>
      <c r="X15" s="102">
        <f t="shared" si="6"/>
        <v>-148265.95999999996</v>
      </c>
      <c r="Y15" s="123">
        <v>1386200</v>
      </c>
      <c r="Z15" s="123">
        <v>847770.72523076914</v>
      </c>
      <c r="AA15" s="123">
        <f t="shared" si="7"/>
        <v>17735.789230769231</v>
      </c>
      <c r="AB15" s="123">
        <v>1142800</v>
      </c>
      <c r="AC15" s="123">
        <f t="shared" si="11"/>
        <v>23907.949790794981</v>
      </c>
      <c r="AD15" s="128">
        <f t="shared" si="9"/>
        <v>956000</v>
      </c>
      <c r="AE15" s="123">
        <v>20000</v>
      </c>
      <c r="AF15" s="123">
        <f t="shared" si="8"/>
        <v>-148265.95999999996</v>
      </c>
      <c r="AG15" s="115"/>
      <c r="AH15" s="115"/>
      <c r="AI15" s="115"/>
      <c r="AJ15" s="115"/>
      <c r="AK15" s="115"/>
      <c r="AL15" s="115"/>
    </row>
    <row r="16" spans="1:38" x14ac:dyDescent="0.25">
      <c r="A16" s="113">
        <v>12</v>
      </c>
      <c r="B16" s="53" t="s">
        <v>485</v>
      </c>
      <c r="C16" s="60" t="s">
        <v>495</v>
      </c>
      <c r="D16" s="54">
        <v>12</v>
      </c>
      <c r="E16" s="54">
        <v>12</v>
      </c>
      <c r="F16" s="54">
        <v>12</v>
      </c>
      <c r="G16" s="54" t="s">
        <v>487</v>
      </c>
      <c r="H16" s="54">
        <v>3</v>
      </c>
      <c r="I16" s="54">
        <v>2</v>
      </c>
      <c r="J16" s="54">
        <v>47.1</v>
      </c>
      <c r="K16" s="54">
        <v>46</v>
      </c>
      <c r="L16" s="54">
        <v>25.5</v>
      </c>
      <c r="M16" s="54">
        <v>2014</v>
      </c>
      <c r="N16" s="55">
        <f t="shared" si="10"/>
        <v>1224600</v>
      </c>
      <c r="O16" s="107">
        <v>1088493.21</v>
      </c>
      <c r="P16" s="56">
        <f t="shared" si="0"/>
        <v>136106.79000000004</v>
      </c>
      <c r="Q16" s="57">
        <f t="shared" si="1"/>
        <v>0.11114387555120042</v>
      </c>
      <c r="R16" s="101">
        <f t="shared" si="2"/>
        <v>26000</v>
      </c>
      <c r="S16" s="99">
        <f t="shared" si="3"/>
        <v>23110.259235668789</v>
      </c>
      <c r="T16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16" s="99">
        <v>20000</v>
      </c>
      <c r="V16" s="106">
        <f t="shared" si="4"/>
        <v>942000</v>
      </c>
      <c r="W16" s="100">
        <f t="shared" si="5"/>
        <v>0.13458348536689538</v>
      </c>
      <c r="X16" s="102">
        <f t="shared" si="6"/>
        <v>-146493.20999999996</v>
      </c>
      <c r="Y16" s="123">
        <v>1365900</v>
      </c>
      <c r="Z16" s="123">
        <v>835355.67276923079</v>
      </c>
      <c r="AA16" s="123">
        <f t="shared" si="7"/>
        <v>17735.789230769231</v>
      </c>
      <c r="AB16" s="123">
        <v>1124600</v>
      </c>
      <c r="AC16" s="123">
        <f t="shared" si="11"/>
        <v>23876.857749469214</v>
      </c>
      <c r="AD16" s="128">
        <f t="shared" si="9"/>
        <v>942000</v>
      </c>
      <c r="AE16" s="123">
        <v>20000</v>
      </c>
      <c r="AF16" s="123">
        <f t="shared" si="8"/>
        <v>-146493.20999999996</v>
      </c>
      <c r="AG16" s="115"/>
      <c r="AH16" s="115"/>
      <c r="AI16" s="115"/>
      <c r="AJ16" s="115"/>
      <c r="AK16" s="115"/>
      <c r="AL16" s="115"/>
    </row>
    <row r="17" spans="1:38" x14ac:dyDescent="0.25">
      <c r="A17" s="113">
        <v>13</v>
      </c>
      <c r="B17" s="53" t="s">
        <v>485</v>
      </c>
      <c r="C17" s="60" t="s">
        <v>495</v>
      </c>
      <c r="D17" s="54">
        <v>13</v>
      </c>
      <c r="E17" s="54">
        <v>13</v>
      </c>
      <c r="F17" s="54">
        <v>13</v>
      </c>
      <c r="G17" s="54" t="s">
        <v>487</v>
      </c>
      <c r="H17" s="54">
        <v>1</v>
      </c>
      <c r="I17" s="54">
        <v>2</v>
      </c>
      <c r="J17" s="54">
        <v>46.7</v>
      </c>
      <c r="K17" s="54">
        <v>45.6</v>
      </c>
      <c r="L17" s="54">
        <v>25.3</v>
      </c>
      <c r="M17" s="54">
        <v>2014</v>
      </c>
      <c r="N17" s="55">
        <f t="shared" si="10"/>
        <v>1214200</v>
      </c>
      <c r="O17" s="107">
        <v>1078181.71</v>
      </c>
      <c r="P17" s="56">
        <f t="shared" si="0"/>
        <v>136018.29000000004</v>
      </c>
      <c r="Q17" s="57">
        <f t="shared" si="1"/>
        <v>0.1120229698566958</v>
      </c>
      <c r="R17" s="101">
        <f t="shared" si="2"/>
        <v>26000</v>
      </c>
      <c r="S17" s="99">
        <f t="shared" si="3"/>
        <v>23087.402783725909</v>
      </c>
      <c r="T17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17" s="99">
        <v>20000</v>
      </c>
      <c r="V17" s="106">
        <f t="shared" si="4"/>
        <v>934000</v>
      </c>
      <c r="W17" s="100">
        <f t="shared" si="5"/>
        <v>0.13372672589669507</v>
      </c>
      <c r="X17" s="102">
        <f t="shared" si="6"/>
        <v>-144181.70999999996</v>
      </c>
      <c r="Y17" s="123">
        <v>1354300</v>
      </c>
      <c r="Z17" s="123">
        <v>828261.35707692313</v>
      </c>
      <c r="AA17" s="123">
        <f t="shared" si="7"/>
        <v>17735.789230769231</v>
      </c>
      <c r="AB17" s="123">
        <v>1114200</v>
      </c>
      <c r="AC17" s="123">
        <f t="shared" si="11"/>
        <v>23858.672376873659</v>
      </c>
      <c r="AD17" s="128">
        <f t="shared" si="9"/>
        <v>934000</v>
      </c>
      <c r="AE17" s="123">
        <v>20000</v>
      </c>
      <c r="AF17" s="123">
        <f t="shared" si="8"/>
        <v>-144181.70999999996</v>
      </c>
      <c r="AG17" s="115"/>
      <c r="AH17" s="115"/>
      <c r="AI17" s="115"/>
      <c r="AJ17" s="115"/>
      <c r="AK17" s="115"/>
      <c r="AL17" s="115"/>
    </row>
    <row r="18" spans="1:38" x14ac:dyDescent="0.25">
      <c r="A18" s="113">
        <v>14</v>
      </c>
      <c r="B18" s="53" t="s">
        <v>485</v>
      </c>
      <c r="C18" s="60" t="s">
        <v>495</v>
      </c>
      <c r="D18" s="54">
        <v>17</v>
      </c>
      <c r="E18" s="54">
        <v>17</v>
      </c>
      <c r="F18" s="54">
        <v>17</v>
      </c>
      <c r="G18" s="54" t="s">
        <v>487</v>
      </c>
      <c r="H18" s="54">
        <v>2</v>
      </c>
      <c r="I18" s="54">
        <v>2</v>
      </c>
      <c r="J18" s="54">
        <v>46.8</v>
      </c>
      <c r="K18" s="54">
        <v>45.7</v>
      </c>
      <c r="L18" s="54">
        <v>25.7</v>
      </c>
      <c r="M18" s="54">
        <v>2014</v>
      </c>
      <c r="N18" s="55">
        <f t="shared" si="10"/>
        <v>1216800</v>
      </c>
      <c r="O18" s="107">
        <v>1068753.73</v>
      </c>
      <c r="P18" s="56">
        <f t="shared" si="0"/>
        <v>148046.27000000002</v>
      </c>
      <c r="Q18" s="57">
        <f t="shared" si="1"/>
        <v>0.12166853221564762</v>
      </c>
      <c r="R18" s="101">
        <f t="shared" si="2"/>
        <v>26000</v>
      </c>
      <c r="S18" s="99">
        <f t="shared" si="3"/>
        <v>22836.618162393162</v>
      </c>
      <c r="T18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18" s="99">
        <v>20000</v>
      </c>
      <c r="V18" s="106">
        <f t="shared" si="4"/>
        <v>936000</v>
      </c>
      <c r="W18" s="100">
        <f t="shared" si="5"/>
        <v>0.12421358286160085</v>
      </c>
      <c r="X18" s="102">
        <f t="shared" si="6"/>
        <v>-132753.72999999998</v>
      </c>
      <c r="Y18" s="123">
        <v>1357200</v>
      </c>
      <c r="Z18" s="123">
        <v>830034.93599999999</v>
      </c>
      <c r="AA18" s="123">
        <f t="shared" si="7"/>
        <v>17735.789230769231</v>
      </c>
      <c r="AB18" s="123">
        <v>1116800</v>
      </c>
      <c r="AC18" s="123">
        <f t="shared" si="11"/>
        <v>23863.247863247863</v>
      </c>
      <c r="AD18" s="128">
        <f t="shared" si="9"/>
        <v>936000</v>
      </c>
      <c r="AE18" s="123">
        <v>20000</v>
      </c>
      <c r="AF18" s="123">
        <f t="shared" si="8"/>
        <v>-132753.72999999998</v>
      </c>
      <c r="AG18" s="115"/>
      <c r="AH18" s="115"/>
      <c r="AI18" s="115"/>
      <c r="AJ18" s="115"/>
      <c r="AK18" s="115"/>
      <c r="AL18" s="115"/>
    </row>
    <row r="19" spans="1:38" x14ac:dyDescent="0.25">
      <c r="A19" s="113">
        <v>15</v>
      </c>
      <c r="B19" s="53" t="s">
        <v>485</v>
      </c>
      <c r="C19" s="60" t="s">
        <v>495</v>
      </c>
      <c r="D19" s="54">
        <v>21</v>
      </c>
      <c r="E19" s="54">
        <v>21</v>
      </c>
      <c r="F19" s="54">
        <v>21</v>
      </c>
      <c r="G19" s="54" t="s">
        <v>487</v>
      </c>
      <c r="H19" s="54">
        <v>3</v>
      </c>
      <c r="I19" s="54">
        <v>2</v>
      </c>
      <c r="J19" s="54">
        <v>47.2</v>
      </c>
      <c r="K19" s="54">
        <v>46.1</v>
      </c>
      <c r="L19" s="54">
        <v>26.2</v>
      </c>
      <c r="M19" s="54">
        <v>2014</v>
      </c>
      <c r="N19" s="55">
        <f t="shared" si="10"/>
        <v>1227200</v>
      </c>
      <c r="O19" s="107">
        <v>1077822.82</v>
      </c>
      <c r="P19" s="56">
        <f t="shared" si="0"/>
        <v>149377.17999999993</v>
      </c>
      <c r="Q19" s="57">
        <f t="shared" si="1"/>
        <v>0.12172195241199474</v>
      </c>
      <c r="R19" s="101">
        <f t="shared" si="2"/>
        <v>26000</v>
      </c>
      <c r="S19" s="99">
        <f t="shared" si="3"/>
        <v>22835.229237288135</v>
      </c>
      <c r="T19" s="99">
        <f>GETPIVOTDATA("Среднее по полю Удельная цена сделки/ предложения, руб./кв.м.",'Росреестр анализ'!$A$3,"Город / Нас.пункт","Баймак")</f>
        <v>17735.789230769231</v>
      </c>
      <c r="U19" s="99">
        <v>20000</v>
      </c>
      <c r="V19" s="106">
        <f t="shared" si="4"/>
        <v>944000</v>
      </c>
      <c r="W19" s="100">
        <f t="shared" si="5"/>
        <v>0.12416031421565193</v>
      </c>
      <c r="X19" s="102">
        <f t="shared" si="6"/>
        <v>-133822.82000000007</v>
      </c>
      <c r="Y19" s="123">
        <v>1368800</v>
      </c>
      <c r="Z19" s="123">
        <v>837129.25169230776</v>
      </c>
      <c r="AA19" s="123">
        <f t="shared" si="7"/>
        <v>17735.789230769231</v>
      </c>
      <c r="AB19" s="123">
        <v>1127200</v>
      </c>
      <c r="AC19" s="123">
        <f t="shared" si="11"/>
        <v>23881.355932203387</v>
      </c>
      <c r="AD19" s="128">
        <f t="shared" si="9"/>
        <v>944000</v>
      </c>
      <c r="AE19" s="123">
        <v>20000</v>
      </c>
      <c r="AF19" s="123">
        <f t="shared" si="8"/>
        <v>-133822.82000000007</v>
      </c>
      <c r="AG19" s="115"/>
      <c r="AH19" s="115"/>
      <c r="AI19" s="115"/>
      <c r="AJ19" s="115"/>
      <c r="AK19" s="115"/>
      <c r="AL19" s="115"/>
    </row>
    <row r="20" spans="1:38" x14ac:dyDescent="0.25">
      <c r="A20" s="113">
        <v>16</v>
      </c>
      <c r="B20" s="53" t="s">
        <v>496</v>
      </c>
      <c r="C20" s="60" t="s">
        <v>497</v>
      </c>
      <c r="D20" s="54">
        <v>4</v>
      </c>
      <c r="E20" s="54">
        <v>4</v>
      </c>
      <c r="F20" s="54">
        <v>4</v>
      </c>
      <c r="G20" s="54"/>
      <c r="H20" s="54">
        <v>1</v>
      </c>
      <c r="I20" s="54">
        <v>2</v>
      </c>
      <c r="J20" s="54">
        <v>46.9</v>
      </c>
      <c r="K20" s="54">
        <v>45.7</v>
      </c>
      <c r="L20" s="54">
        <v>26</v>
      </c>
      <c r="M20" s="54">
        <v>2014</v>
      </c>
      <c r="N20" s="55">
        <f t="shared" si="10"/>
        <v>1219400</v>
      </c>
      <c r="O20" s="107">
        <v>1103458.81</v>
      </c>
      <c r="P20" s="56">
        <f t="shared" si="0"/>
        <v>115941.18999999994</v>
      </c>
      <c r="Q20" s="57">
        <f t="shared" si="1"/>
        <v>9.5080523208135106E-2</v>
      </c>
      <c r="R20" s="101">
        <f t="shared" si="2"/>
        <v>26000</v>
      </c>
      <c r="S20" s="99">
        <f t="shared" si="3"/>
        <v>23527.906396588489</v>
      </c>
      <c r="T20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0" s="99">
        <v>20500</v>
      </c>
      <c r="V20" s="106">
        <f t="shared" si="4"/>
        <v>961450</v>
      </c>
      <c r="W20" s="100">
        <f t="shared" si="5"/>
        <v>0.12869425547474678</v>
      </c>
      <c r="X20" s="102">
        <f t="shared" si="6"/>
        <v>-142008.81000000006</v>
      </c>
      <c r="Y20" s="123">
        <v>1383550</v>
      </c>
      <c r="Z20" s="123">
        <v>961307.1425999999</v>
      </c>
      <c r="AA20" s="123">
        <f t="shared" si="7"/>
        <v>20496.953999999998</v>
      </c>
      <c r="AB20" s="123">
        <v>975520</v>
      </c>
      <c r="AC20" s="123">
        <f t="shared" si="11"/>
        <v>20800</v>
      </c>
      <c r="AD20" s="128">
        <f t="shared" si="9"/>
        <v>961450</v>
      </c>
      <c r="AE20" s="123">
        <v>20500</v>
      </c>
      <c r="AF20" s="123">
        <f t="shared" si="8"/>
        <v>-142008.81000000006</v>
      </c>
      <c r="AG20" s="115"/>
      <c r="AH20" s="115"/>
      <c r="AI20" s="115"/>
      <c r="AJ20" s="115"/>
      <c r="AK20" s="115"/>
      <c r="AL20" s="115"/>
    </row>
    <row r="21" spans="1:38" x14ac:dyDescent="0.25">
      <c r="A21" s="113">
        <v>17</v>
      </c>
      <c r="B21" s="53" t="s">
        <v>496</v>
      </c>
      <c r="C21" s="60" t="s">
        <v>497</v>
      </c>
      <c r="D21" s="54">
        <v>12</v>
      </c>
      <c r="E21" s="54">
        <v>12</v>
      </c>
      <c r="F21" s="54">
        <v>12</v>
      </c>
      <c r="G21" s="54" t="s">
        <v>487</v>
      </c>
      <c r="H21" s="54">
        <v>3</v>
      </c>
      <c r="I21" s="54">
        <v>2</v>
      </c>
      <c r="J21" s="54">
        <v>46.3</v>
      </c>
      <c r="K21" s="54">
        <v>45.1</v>
      </c>
      <c r="L21" s="54">
        <v>26</v>
      </c>
      <c r="M21" s="54">
        <v>2014</v>
      </c>
      <c r="N21" s="55">
        <f t="shared" si="10"/>
        <v>1203800</v>
      </c>
      <c r="O21" s="107">
        <v>1106463.68</v>
      </c>
      <c r="P21" s="56">
        <f t="shared" si="0"/>
        <v>97336.320000000065</v>
      </c>
      <c r="Q21" s="57">
        <f t="shared" si="1"/>
        <v>8.0857551088220694E-2</v>
      </c>
      <c r="R21" s="101">
        <f t="shared" si="2"/>
        <v>26000</v>
      </c>
      <c r="S21" s="99">
        <f t="shared" si="3"/>
        <v>23897.703671706262</v>
      </c>
      <c r="T21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1" s="99">
        <v>20500</v>
      </c>
      <c r="V21" s="106">
        <f t="shared" si="4"/>
        <v>949149.99999999988</v>
      </c>
      <c r="W21" s="100">
        <f t="shared" si="5"/>
        <v>0.142176994006708</v>
      </c>
      <c r="X21" s="102">
        <f t="shared" si="6"/>
        <v>-157313.68000000005</v>
      </c>
      <c r="Y21" s="123">
        <v>1365850</v>
      </c>
      <c r="Z21" s="123">
        <v>949008.97019999987</v>
      </c>
      <c r="AA21" s="123">
        <f t="shared" si="7"/>
        <v>20496.953999999998</v>
      </c>
      <c r="AB21" s="123">
        <v>963040</v>
      </c>
      <c r="AC21" s="123">
        <f t="shared" si="11"/>
        <v>20800</v>
      </c>
      <c r="AD21" s="128">
        <f t="shared" si="9"/>
        <v>949149.99999999988</v>
      </c>
      <c r="AE21" s="123">
        <v>20500</v>
      </c>
      <c r="AF21" s="123">
        <f t="shared" si="8"/>
        <v>-157313.68000000005</v>
      </c>
      <c r="AG21" s="115"/>
      <c r="AH21" s="115"/>
      <c r="AI21" s="115"/>
      <c r="AJ21" s="115"/>
      <c r="AK21" s="115"/>
      <c r="AL21" s="115"/>
    </row>
    <row r="22" spans="1:38" x14ac:dyDescent="0.25">
      <c r="A22" s="113">
        <v>18</v>
      </c>
      <c r="B22" s="53" t="s">
        <v>496</v>
      </c>
      <c r="C22" s="60" t="s">
        <v>497</v>
      </c>
      <c r="D22" s="54">
        <v>16</v>
      </c>
      <c r="E22" s="54">
        <v>16</v>
      </c>
      <c r="F22" s="54">
        <v>16</v>
      </c>
      <c r="G22" s="54" t="s">
        <v>487</v>
      </c>
      <c r="H22" s="54">
        <v>1</v>
      </c>
      <c r="I22" s="54">
        <v>2</v>
      </c>
      <c r="J22" s="54">
        <v>46.7</v>
      </c>
      <c r="K22" s="54">
        <v>45.5</v>
      </c>
      <c r="L22" s="54">
        <v>26</v>
      </c>
      <c r="M22" s="54">
        <v>2014</v>
      </c>
      <c r="N22" s="55">
        <f t="shared" si="10"/>
        <v>1214200</v>
      </c>
      <c r="O22" s="107">
        <v>1094093.6200000001</v>
      </c>
      <c r="P22" s="56">
        <f t="shared" si="0"/>
        <v>120106.37999999989</v>
      </c>
      <c r="Q22" s="57">
        <f t="shared" si="1"/>
        <v>9.8918118926041743E-2</v>
      </c>
      <c r="R22" s="101">
        <f t="shared" si="2"/>
        <v>26000</v>
      </c>
      <c r="S22" s="99">
        <f t="shared" si="3"/>
        <v>23428.128907922914</v>
      </c>
      <c r="T22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2" s="99">
        <v>20500</v>
      </c>
      <c r="V22" s="106">
        <f t="shared" si="4"/>
        <v>957350.00000000012</v>
      </c>
      <c r="W22" s="100">
        <f t="shared" si="5"/>
        <v>0.12498347262092616</v>
      </c>
      <c r="X22" s="102">
        <f t="shared" si="6"/>
        <v>-136743.62</v>
      </c>
      <c r="Y22" s="123">
        <v>1377650</v>
      </c>
      <c r="Z22" s="123">
        <v>957207.75179999997</v>
      </c>
      <c r="AA22" s="123">
        <f t="shared" si="7"/>
        <v>20496.953999999998</v>
      </c>
      <c r="AB22" s="123">
        <v>971360</v>
      </c>
      <c r="AC22" s="123">
        <f t="shared" si="11"/>
        <v>20800</v>
      </c>
      <c r="AD22" s="128">
        <f t="shared" si="9"/>
        <v>957350.00000000012</v>
      </c>
      <c r="AE22" s="123">
        <v>20500</v>
      </c>
      <c r="AF22" s="123">
        <f t="shared" si="8"/>
        <v>-136743.62</v>
      </c>
      <c r="AG22" s="115"/>
      <c r="AH22" s="115"/>
      <c r="AI22" s="115"/>
      <c r="AJ22" s="115"/>
      <c r="AK22" s="115"/>
      <c r="AL22" s="115"/>
    </row>
    <row r="23" spans="1:38" x14ac:dyDescent="0.25">
      <c r="A23" s="113">
        <v>19</v>
      </c>
      <c r="B23" s="53" t="s">
        <v>496</v>
      </c>
      <c r="C23" s="60" t="s">
        <v>497</v>
      </c>
      <c r="D23" s="54">
        <v>24</v>
      </c>
      <c r="E23" s="54">
        <v>24</v>
      </c>
      <c r="F23" s="54">
        <v>24</v>
      </c>
      <c r="G23" s="54" t="s">
        <v>487</v>
      </c>
      <c r="H23" s="54">
        <v>3</v>
      </c>
      <c r="I23" s="54">
        <v>2</v>
      </c>
      <c r="J23" s="54">
        <v>47.5</v>
      </c>
      <c r="K23" s="54">
        <v>46.3</v>
      </c>
      <c r="L23" s="54">
        <v>25.4</v>
      </c>
      <c r="M23" s="54">
        <v>2014</v>
      </c>
      <c r="N23" s="55">
        <f t="shared" si="10"/>
        <v>1235000</v>
      </c>
      <c r="O23" s="107">
        <v>1093432.5</v>
      </c>
      <c r="P23" s="56">
        <f t="shared" si="0"/>
        <v>141567.5</v>
      </c>
      <c r="Q23" s="57">
        <f t="shared" si="1"/>
        <v>0.11462955465587045</v>
      </c>
      <c r="R23" s="101">
        <f t="shared" si="2"/>
        <v>26000</v>
      </c>
      <c r="S23" s="99">
        <f t="shared" si="3"/>
        <v>23019.63157894737</v>
      </c>
      <c r="T23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3" s="99">
        <v>20500</v>
      </c>
      <c r="V23" s="106">
        <f t="shared" si="4"/>
        <v>973750</v>
      </c>
      <c r="W23" s="100">
        <f t="shared" si="5"/>
        <v>0.10945577344737786</v>
      </c>
      <c r="X23" s="102">
        <f t="shared" si="6"/>
        <v>-119682.5</v>
      </c>
      <c r="Y23" s="123">
        <v>1401250</v>
      </c>
      <c r="Z23" s="123">
        <v>973605.31499999994</v>
      </c>
      <c r="AA23" s="123">
        <f t="shared" si="7"/>
        <v>20496.953999999998</v>
      </c>
      <c r="AB23" s="123">
        <v>988000</v>
      </c>
      <c r="AC23" s="123">
        <f t="shared" si="11"/>
        <v>20800</v>
      </c>
      <c r="AD23" s="128">
        <f t="shared" si="9"/>
        <v>973750</v>
      </c>
      <c r="AE23" s="123">
        <v>20500</v>
      </c>
      <c r="AF23" s="123">
        <f t="shared" si="8"/>
        <v>-119682.5</v>
      </c>
      <c r="AG23" s="115"/>
      <c r="AH23" s="115"/>
      <c r="AI23" s="115"/>
      <c r="AJ23" s="115"/>
      <c r="AK23" s="115"/>
      <c r="AL23" s="115"/>
    </row>
    <row r="24" spans="1:38" x14ac:dyDescent="0.25">
      <c r="A24" s="113">
        <v>20</v>
      </c>
      <c r="B24" s="53" t="s">
        <v>496</v>
      </c>
      <c r="C24" s="60" t="s">
        <v>497</v>
      </c>
      <c r="D24" s="54">
        <v>25</v>
      </c>
      <c r="E24" s="54">
        <v>25</v>
      </c>
      <c r="F24" s="54">
        <v>25</v>
      </c>
      <c r="G24" s="54" t="s">
        <v>487</v>
      </c>
      <c r="H24" s="54">
        <v>1</v>
      </c>
      <c r="I24" s="54">
        <v>2</v>
      </c>
      <c r="J24" s="54">
        <v>47.1</v>
      </c>
      <c r="K24" s="54">
        <v>45.9</v>
      </c>
      <c r="L24" s="54">
        <v>25.7</v>
      </c>
      <c r="M24" s="54">
        <v>2014</v>
      </c>
      <c r="N24" s="55">
        <f t="shared" si="10"/>
        <v>1224600</v>
      </c>
      <c r="O24" s="107">
        <v>1093901.43</v>
      </c>
      <c r="P24" s="56">
        <f t="shared" si="0"/>
        <v>130698.57000000007</v>
      </c>
      <c r="Q24" s="57">
        <f t="shared" si="1"/>
        <v>0.10672756001959829</v>
      </c>
      <c r="R24" s="101">
        <f t="shared" si="2"/>
        <v>26000</v>
      </c>
      <c r="S24" s="99">
        <f t="shared" si="3"/>
        <v>23225.083439490445</v>
      </c>
      <c r="T24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4" s="99">
        <v>20500</v>
      </c>
      <c r="V24" s="106">
        <f t="shared" si="4"/>
        <v>965550</v>
      </c>
      <c r="W24" s="100">
        <f t="shared" si="5"/>
        <v>0.1173336339819941</v>
      </c>
      <c r="X24" s="102">
        <f t="shared" si="6"/>
        <v>-128351.42999999993</v>
      </c>
      <c r="Y24" s="123">
        <v>1389450</v>
      </c>
      <c r="Z24" s="123">
        <v>965406.53339999996</v>
      </c>
      <c r="AA24" s="123">
        <f t="shared" si="7"/>
        <v>20496.953999999998</v>
      </c>
      <c r="AB24" s="123">
        <v>979680</v>
      </c>
      <c r="AC24" s="123">
        <f t="shared" si="11"/>
        <v>20800</v>
      </c>
      <c r="AD24" s="128">
        <f t="shared" si="9"/>
        <v>965550</v>
      </c>
      <c r="AE24" s="123">
        <v>20500</v>
      </c>
      <c r="AF24" s="123">
        <f t="shared" si="8"/>
        <v>-128351.42999999993</v>
      </c>
      <c r="AG24" s="115"/>
      <c r="AH24" s="115"/>
      <c r="AI24" s="115"/>
      <c r="AJ24" s="115"/>
      <c r="AK24" s="115"/>
      <c r="AL24" s="115"/>
    </row>
    <row r="25" spans="1:38" x14ac:dyDescent="0.25">
      <c r="A25" s="113">
        <v>21</v>
      </c>
      <c r="B25" s="53" t="s">
        <v>496</v>
      </c>
      <c r="C25" s="60" t="s">
        <v>497</v>
      </c>
      <c r="D25" s="54">
        <v>29</v>
      </c>
      <c r="E25" s="54">
        <v>29</v>
      </c>
      <c r="F25" s="54">
        <v>29</v>
      </c>
      <c r="G25" s="54"/>
      <c r="H25" s="54"/>
      <c r="I25" s="54"/>
      <c r="J25" s="54">
        <v>46.9</v>
      </c>
      <c r="K25" s="54"/>
      <c r="L25" s="54"/>
      <c r="M25" s="54">
        <v>2014</v>
      </c>
      <c r="N25" s="55">
        <f t="shared" si="10"/>
        <v>1219400</v>
      </c>
      <c r="O25" s="107">
        <v>1118550.8700000001</v>
      </c>
      <c r="P25" s="56">
        <f t="shared" si="0"/>
        <v>100849.12999999989</v>
      </c>
      <c r="Q25" s="57">
        <f t="shared" si="1"/>
        <v>8.2703895358372873E-2</v>
      </c>
      <c r="R25" s="101">
        <f t="shared" si="2"/>
        <v>26000</v>
      </c>
      <c r="S25" s="99">
        <f t="shared" si="3"/>
        <v>23849.698720682307</v>
      </c>
      <c r="T25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5" s="99">
        <v>20500</v>
      </c>
      <c r="V25" s="106">
        <f t="shared" si="4"/>
        <v>961450</v>
      </c>
      <c r="W25" s="100">
        <f t="shared" si="5"/>
        <v>0.14045035788135421</v>
      </c>
      <c r="X25" s="102">
        <f t="shared" si="6"/>
        <v>-157100.87000000011</v>
      </c>
      <c r="Y25" s="123">
        <v>1383550</v>
      </c>
      <c r="Z25" s="123">
        <v>961307.1425999999</v>
      </c>
      <c r="AA25" s="123">
        <f t="shared" si="7"/>
        <v>20496.953999999998</v>
      </c>
      <c r="AB25" s="123">
        <v>975520</v>
      </c>
      <c r="AC25" s="123">
        <f t="shared" si="11"/>
        <v>20800</v>
      </c>
      <c r="AD25" s="128">
        <f t="shared" si="9"/>
        <v>961450</v>
      </c>
      <c r="AE25" s="123">
        <v>20500</v>
      </c>
      <c r="AF25" s="123">
        <f t="shared" si="8"/>
        <v>-157100.87000000011</v>
      </c>
      <c r="AG25" s="115"/>
      <c r="AH25" s="115"/>
      <c r="AI25" s="115"/>
      <c r="AJ25" s="115"/>
      <c r="AK25" s="115"/>
      <c r="AL25" s="115"/>
    </row>
    <row r="26" spans="1:38" x14ac:dyDescent="0.25">
      <c r="A26" s="113">
        <v>22</v>
      </c>
      <c r="B26" s="53" t="s">
        <v>496</v>
      </c>
      <c r="C26" s="60" t="s">
        <v>497</v>
      </c>
      <c r="D26" s="54">
        <v>33</v>
      </c>
      <c r="E26" s="54">
        <v>33</v>
      </c>
      <c r="F26" s="54">
        <v>33</v>
      </c>
      <c r="G26" s="54" t="s">
        <v>487</v>
      </c>
      <c r="H26" s="54">
        <v>3</v>
      </c>
      <c r="I26" s="54">
        <v>2</v>
      </c>
      <c r="J26" s="54">
        <v>46.9</v>
      </c>
      <c r="K26" s="54">
        <v>45.7</v>
      </c>
      <c r="L26" s="54">
        <v>25.4</v>
      </c>
      <c r="M26" s="54">
        <v>2014</v>
      </c>
      <c r="N26" s="55">
        <f t="shared" si="10"/>
        <v>1219400</v>
      </c>
      <c r="O26" s="107">
        <v>1165052.93</v>
      </c>
      <c r="P26" s="56">
        <f t="shared" si="0"/>
        <v>54347.070000000065</v>
      </c>
      <c r="Q26" s="57">
        <f t="shared" si="1"/>
        <v>4.4568697720190308E-2</v>
      </c>
      <c r="R26" s="101">
        <f t="shared" si="2"/>
        <v>26000</v>
      </c>
      <c r="S26" s="99">
        <f t="shared" si="3"/>
        <v>24841.213859275053</v>
      </c>
      <c r="T26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26" s="99">
        <v>20500</v>
      </c>
      <c r="V26" s="106">
        <f t="shared" si="4"/>
        <v>961450</v>
      </c>
      <c r="W26" s="100">
        <f t="shared" si="5"/>
        <v>0.17475852363205502</v>
      </c>
      <c r="X26" s="102">
        <f t="shared" si="6"/>
        <v>-203602.92999999993</v>
      </c>
      <c r="Y26" s="123">
        <v>1383550</v>
      </c>
      <c r="Z26" s="123">
        <v>961307.1425999999</v>
      </c>
      <c r="AA26" s="123">
        <f t="shared" si="7"/>
        <v>20496.953999999998</v>
      </c>
      <c r="AB26" s="123">
        <v>975520</v>
      </c>
      <c r="AC26" s="123">
        <f t="shared" si="11"/>
        <v>20800</v>
      </c>
      <c r="AD26" s="128">
        <f t="shared" si="9"/>
        <v>961450</v>
      </c>
      <c r="AE26" s="123">
        <v>20500</v>
      </c>
      <c r="AF26" s="123">
        <f t="shared" si="8"/>
        <v>-203602.92999999993</v>
      </c>
      <c r="AG26" s="115"/>
      <c r="AH26" s="115"/>
      <c r="AI26" s="115"/>
      <c r="AJ26" s="115"/>
      <c r="AK26" s="115"/>
      <c r="AL26" s="115"/>
    </row>
    <row r="27" spans="1:38" x14ac:dyDescent="0.25">
      <c r="A27" s="113">
        <v>23</v>
      </c>
      <c r="B27" s="53" t="s">
        <v>498</v>
      </c>
      <c r="C27" s="60" t="s">
        <v>499</v>
      </c>
      <c r="D27" s="54">
        <v>1</v>
      </c>
      <c r="E27" s="54">
        <v>1</v>
      </c>
      <c r="F27" s="54">
        <v>1</v>
      </c>
      <c r="G27" s="54" t="s">
        <v>487</v>
      </c>
      <c r="H27" s="54">
        <v>1</v>
      </c>
      <c r="I27" s="54">
        <v>2</v>
      </c>
      <c r="J27" s="54">
        <v>51.8</v>
      </c>
      <c r="K27" s="54">
        <v>50.1</v>
      </c>
      <c r="L27" s="54">
        <v>28.4</v>
      </c>
      <c r="M27" s="54">
        <v>2014</v>
      </c>
      <c r="N27" s="55">
        <f>J27*22000</f>
        <v>1139600</v>
      </c>
      <c r="O27" s="108">
        <v>1124200</v>
      </c>
      <c r="P27" s="56">
        <f t="shared" si="0"/>
        <v>15400</v>
      </c>
      <c r="Q27" s="57">
        <f t="shared" si="1"/>
        <v>1.3513513513513514E-2</v>
      </c>
      <c r="R27" s="101">
        <f t="shared" si="2"/>
        <v>22000</v>
      </c>
      <c r="S27" s="99">
        <f t="shared" si="3"/>
        <v>21702.702702702703</v>
      </c>
      <c r="T27" s="99">
        <v>0</v>
      </c>
      <c r="U27" s="99">
        <v>0</v>
      </c>
      <c r="V27" s="106">
        <f t="shared" si="4"/>
        <v>0</v>
      </c>
      <c r="W27" s="100">
        <f t="shared" si="5"/>
        <v>0</v>
      </c>
      <c r="X27" s="102">
        <f t="shared" si="6"/>
        <v>0</v>
      </c>
      <c r="Y27" s="123">
        <v>1657600</v>
      </c>
      <c r="Z27" s="123"/>
      <c r="AA27" s="123">
        <f t="shared" si="7"/>
        <v>0</v>
      </c>
      <c r="AB27" s="123">
        <v>1036000</v>
      </c>
      <c r="AC27" s="123">
        <f t="shared" si="11"/>
        <v>20000</v>
      </c>
      <c r="AD27" s="128">
        <v>1000000</v>
      </c>
      <c r="AE27" s="123">
        <f t="shared" ref="AE27:AE33" si="12">AD27/J27</f>
        <v>19305.019305019305</v>
      </c>
      <c r="AF27" s="123">
        <f t="shared" si="8"/>
        <v>-124200</v>
      </c>
      <c r="AG27" s="115"/>
      <c r="AH27" s="115"/>
      <c r="AI27" s="115"/>
      <c r="AJ27" s="115"/>
      <c r="AK27" s="115"/>
      <c r="AL27" s="115"/>
    </row>
    <row r="28" spans="1:38" x14ac:dyDescent="0.25">
      <c r="A28" s="113">
        <v>24</v>
      </c>
      <c r="B28" s="53" t="s">
        <v>498</v>
      </c>
      <c r="C28" s="60" t="s">
        <v>499</v>
      </c>
      <c r="D28" s="54">
        <v>2</v>
      </c>
      <c r="E28" s="54">
        <v>16</v>
      </c>
      <c r="F28" s="54">
        <v>16</v>
      </c>
      <c r="G28" s="54" t="s">
        <v>487</v>
      </c>
      <c r="H28" s="54">
        <v>1</v>
      </c>
      <c r="I28" s="54">
        <v>2</v>
      </c>
      <c r="J28" s="54">
        <v>51.2</v>
      </c>
      <c r="K28" s="54">
        <v>49.5</v>
      </c>
      <c r="L28" s="54">
        <v>28.5</v>
      </c>
      <c r="M28" s="54">
        <v>2014</v>
      </c>
      <c r="N28" s="55">
        <f t="shared" ref="N28:N33" si="13">J28*22000</f>
        <v>1126400</v>
      </c>
      <c r="O28" s="108">
        <v>1117600</v>
      </c>
      <c r="P28" s="56">
        <f t="shared" si="0"/>
        <v>8800</v>
      </c>
      <c r="Q28" s="57">
        <f t="shared" si="1"/>
        <v>7.8125E-3</v>
      </c>
      <c r="R28" s="101">
        <f t="shared" si="2"/>
        <v>22000</v>
      </c>
      <c r="S28" s="99">
        <f t="shared" si="3"/>
        <v>21828.125</v>
      </c>
      <c r="T28" s="99">
        <v>0</v>
      </c>
      <c r="U28" s="99">
        <v>0</v>
      </c>
      <c r="V28" s="106">
        <f t="shared" si="4"/>
        <v>0</v>
      </c>
      <c r="W28" s="100">
        <f t="shared" si="5"/>
        <v>0</v>
      </c>
      <c r="X28" s="102">
        <f t="shared" si="6"/>
        <v>0</v>
      </c>
      <c r="Y28" s="123">
        <v>1638400</v>
      </c>
      <c r="Z28" s="123"/>
      <c r="AA28" s="123">
        <f t="shared" si="7"/>
        <v>0</v>
      </c>
      <c r="AB28" s="123">
        <v>1024000</v>
      </c>
      <c r="AC28" s="123">
        <f t="shared" si="11"/>
        <v>20000</v>
      </c>
      <c r="AD28" s="128">
        <v>1000000</v>
      </c>
      <c r="AE28" s="123">
        <f t="shared" si="12"/>
        <v>19531.25</v>
      </c>
      <c r="AF28" s="123">
        <f t="shared" si="8"/>
        <v>-117600</v>
      </c>
      <c r="AG28" s="115"/>
      <c r="AH28" s="115"/>
      <c r="AI28" s="115"/>
      <c r="AJ28" s="115"/>
      <c r="AK28" s="115"/>
      <c r="AL28" s="115"/>
    </row>
    <row r="29" spans="1:38" x14ac:dyDescent="0.25">
      <c r="A29" s="113">
        <v>25</v>
      </c>
      <c r="B29" s="53" t="s">
        <v>498</v>
      </c>
      <c r="C29" s="60" t="s">
        <v>499</v>
      </c>
      <c r="D29" s="54">
        <v>3</v>
      </c>
      <c r="E29" s="54">
        <v>24</v>
      </c>
      <c r="F29" s="54">
        <v>24</v>
      </c>
      <c r="G29" s="54" t="s">
        <v>487</v>
      </c>
      <c r="H29" s="54">
        <v>3</v>
      </c>
      <c r="I29" s="54">
        <v>2</v>
      </c>
      <c r="J29" s="54">
        <v>51.6</v>
      </c>
      <c r="K29" s="54">
        <v>49.9</v>
      </c>
      <c r="L29" s="54">
        <v>28.3</v>
      </c>
      <c r="M29" s="54">
        <v>2014</v>
      </c>
      <c r="N29" s="55">
        <f t="shared" si="13"/>
        <v>1135200</v>
      </c>
      <c r="O29" s="108">
        <v>1115400</v>
      </c>
      <c r="P29" s="56">
        <f t="shared" si="0"/>
        <v>19800</v>
      </c>
      <c r="Q29" s="57">
        <f t="shared" si="1"/>
        <v>1.7441860465116279E-2</v>
      </c>
      <c r="R29" s="101">
        <f t="shared" si="2"/>
        <v>22000</v>
      </c>
      <c r="S29" s="99">
        <f t="shared" si="3"/>
        <v>21616.279069767443</v>
      </c>
      <c r="T29" s="99">
        <v>0</v>
      </c>
      <c r="U29" s="99">
        <v>0</v>
      </c>
      <c r="V29" s="106">
        <f t="shared" si="4"/>
        <v>0</v>
      </c>
      <c r="W29" s="100">
        <f t="shared" si="5"/>
        <v>0</v>
      </c>
      <c r="X29" s="102">
        <f t="shared" si="6"/>
        <v>0</v>
      </c>
      <c r="Y29" s="123">
        <v>1651200</v>
      </c>
      <c r="Z29" s="123"/>
      <c r="AA29" s="123">
        <f t="shared" si="7"/>
        <v>0</v>
      </c>
      <c r="AB29" s="123">
        <v>1032000</v>
      </c>
      <c r="AC29" s="123">
        <f t="shared" si="11"/>
        <v>20000</v>
      </c>
      <c r="AD29" s="128">
        <v>1000000</v>
      </c>
      <c r="AE29" s="123">
        <f t="shared" si="12"/>
        <v>19379.844961240309</v>
      </c>
      <c r="AF29" s="123">
        <f t="shared" si="8"/>
        <v>-115400</v>
      </c>
      <c r="AG29" s="115"/>
      <c r="AH29" s="115"/>
      <c r="AI29" s="115"/>
      <c r="AJ29" s="115"/>
      <c r="AK29" s="115"/>
      <c r="AL29" s="115"/>
    </row>
    <row r="30" spans="1:38" x14ac:dyDescent="0.25">
      <c r="A30" s="113">
        <v>26</v>
      </c>
      <c r="B30" s="53" t="s">
        <v>498</v>
      </c>
      <c r="C30" s="60" t="s">
        <v>499</v>
      </c>
      <c r="D30" s="54">
        <v>4</v>
      </c>
      <c r="E30" s="54">
        <v>25</v>
      </c>
      <c r="F30" s="54">
        <v>25</v>
      </c>
      <c r="G30" s="54" t="s">
        <v>487</v>
      </c>
      <c r="H30" s="54">
        <v>1</v>
      </c>
      <c r="I30" s="54">
        <v>2</v>
      </c>
      <c r="J30" s="54">
        <v>51.1</v>
      </c>
      <c r="K30" s="54">
        <v>49.4</v>
      </c>
      <c r="L30" s="54">
        <v>27.9</v>
      </c>
      <c r="M30" s="54">
        <v>2014</v>
      </c>
      <c r="N30" s="55">
        <f t="shared" si="13"/>
        <v>1124200</v>
      </c>
      <c r="O30" s="108">
        <v>1111000</v>
      </c>
      <c r="P30" s="56">
        <f t="shared" si="0"/>
        <v>13200</v>
      </c>
      <c r="Q30" s="57">
        <f t="shared" si="1"/>
        <v>1.1741682974559686E-2</v>
      </c>
      <c r="R30" s="101">
        <f t="shared" si="2"/>
        <v>22000</v>
      </c>
      <c r="S30" s="99">
        <f t="shared" si="3"/>
        <v>21741.682974559688</v>
      </c>
      <c r="T30" s="99">
        <v>0</v>
      </c>
      <c r="U30" s="99">
        <v>0</v>
      </c>
      <c r="V30" s="106">
        <f t="shared" si="4"/>
        <v>0</v>
      </c>
      <c r="W30" s="100">
        <f t="shared" si="5"/>
        <v>0</v>
      </c>
      <c r="X30" s="102">
        <f t="shared" si="6"/>
        <v>0</v>
      </c>
      <c r="Y30" s="123">
        <v>1635200</v>
      </c>
      <c r="Z30" s="123"/>
      <c r="AA30" s="123">
        <f t="shared" si="7"/>
        <v>0</v>
      </c>
      <c r="AB30" s="123">
        <v>1022000</v>
      </c>
      <c r="AC30" s="123">
        <f t="shared" si="11"/>
        <v>20000</v>
      </c>
      <c r="AD30" s="128">
        <v>1000000</v>
      </c>
      <c r="AE30" s="123">
        <f t="shared" si="12"/>
        <v>19569.471624266145</v>
      </c>
      <c r="AF30" s="123">
        <f t="shared" si="8"/>
        <v>-111000</v>
      </c>
      <c r="AG30" s="115"/>
      <c r="AH30" s="115"/>
      <c r="AI30" s="115"/>
      <c r="AJ30" s="115"/>
      <c r="AK30" s="115"/>
      <c r="AL30" s="115"/>
    </row>
    <row r="31" spans="1:38" x14ac:dyDescent="0.25">
      <c r="A31" s="113">
        <v>27</v>
      </c>
      <c r="B31" s="53" t="s">
        <v>498</v>
      </c>
      <c r="C31" s="60" t="s">
        <v>499</v>
      </c>
      <c r="D31" s="54">
        <v>5</v>
      </c>
      <c r="E31" s="54">
        <v>33</v>
      </c>
      <c r="F31" s="54">
        <v>33</v>
      </c>
      <c r="G31" s="54" t="s">
        <v>487</v>
      </c>
      <c r="H31" s="54">
        <v>3</v>
      </c>
      <c r="I31" s="54">
        <v>2</v>
      </c>
      <c r="J31" s="54">
        <v>51.5</v>
      </c>
      <c r="K31" s="54">
        <v>49.8</v>
      </c>
      <c r="L31" s="54">
        <v>28.2</v>
      </c>
      <c r="M31" s="54">
        <v>2014</v>
      </c>
      <c r="N31" s="55">
        <f t="shared" si="13"/>
        <v>1133000</v>
      </c>
      <c r="O31" s="108">
        <v>1119800</v>
      </c>
      <c r="P31" s="56">
        <f t="shared" si="0"/>
        <v>13200</v>
      </c>
      <c r="Q31" s="57">
        <f t="shared" si="1"/>
        <v>1.1650485436893204E-2</v>
      </c>
      <c r="R31" s="101">
        <f t="shared" si="2"/>
        <v>22000</v>
      </c>
      <c r="S31" s="99">
        <f t="shared" si="3"/>
        <v>21743.689320388348</v>
      </c>
      <c r="T31" s="99">
        <v>0</v>
      </c>
      <c r="U31" s="99">
        <v>0</v>
      </c>
      <c r="V31" s="106">
        <f t="shared" si="4"/>
        <v>0</v>
      </c>
      <c r="W31" s="100">
        <f t="shared" si="5"/>
        <v>0</v>
      </c>
      <c r="X31" s="102">
        <f t="shared" si="6"/>
        <v>0</v>
      </c>
      <c r="Y31" s="123">
        <v>1648000</v>
      </c>
      <c r="Z31" s="123"/>
      <c r="AA31" s="123">
        <f t="shared" si="7"/>
        <v>0</v>
      </c>
      <c r="AB31" s="123">
        <v>1030000</v>
      </c>
      <c r="AC31" s="123">
        <f t="shared" si="11"/>
        <v>20000</v>
      </c>
      <c r="AD31" s="128">
        <v>1000000</v>
      </c>
      <c r="AE31" s="123">
        <f t="shared" si="12"/>
        <v>19417.475728155339</v>
      </c>
      <c r="AF31" s="123">
        <f t="shared" si="8"/>
        <v>-119800</v>
      </c>
      <c r="AG31" s="115"/>
      <c r="AH31" s="115"/>
      <c r="AI31" s="115"/>
      <c r="AJ31" s="115"/>
      <c r="AK31" s="115"/>
      <c r="AL31" s="115"/>
    </row>
    <row r="32" spans="1:38" x14ac:dyDescent="0.25">
      <c r="A32" s="113">
        <v>28</v>
      </c>
      <c r="B32" s="53" t="s">
        <v>498</v>
      </c>
      <c r="C32" s="60" t="s">
        <v>499</v>
      </c>
      <c r="D32" s="54">
        <v>6</v>
      </c>
      <c r="E32" s="54">
        <v>5</v>
      </c>
      <c r="F32" s="54">
        <v>5</v>
      </c>
      <c r="G32" s="54" t="s">
        <v>487</v>
      </c>
      <c r="H32" s="54">
        <v>2</v>
      </c>
      <c r="I32" s="54">
        <v>2</v>
      </c>
      <c r="J32" s="54">
        <v>51.5</v>
      </c>
      <c r="K32" s="54">
        <v>49.8</v>
      </c>
      <c r="L32" s="54">
        <v>28.4</v>
      </c>
      <c r="M32" s="54">
        <v>2014</v>
      </c>
      <c r="N32" s="55">
        <f t="shared" si="13"/>
        <v>1133000</v>
      </c>
      <c r="O32" s="108">
        <v>1108800</v>
      </c>
      <c r="P32" s="56">
        <f t="shared" si="0"/>
        <v>24200</v>
      </c>
      <c r="Q32" s="57">
        <f t="shared" si="1"/>
        <v>2.1359223300970873E-2</v>
      </c>
      <c r="R32" s="101">
        <f t="shared" si="2"/>
        <v>22000</v>
      </c>
      <c r="S32" s="99">
        <f t="shared" si="3"/>
        <v>21530.097087378639</v>
      </c>
      <c r="T32" s="99">
        <v>0</v>
      </c>
      <c r="U32" s="99">
        <v>0</v>
      </c>
      <c r="V32" s="106">
        <f t="shared" si="4"/>
        <v>0</v>
      </c>
      <c r="W32" s="100">
        <f t="shared" si="5"/>
        <v>0</v>
      </c>
      <c r="X32" s="102">
        <f t="shared" si="6"/>
        <v>0</v>
      </c>
      <c r="Y32" s="123">
        <v>1648000</v>
      </c>
      <c r="Z32" s="123"/>
      <c r="AA32" s="123">
        <f t="shared" si="7"/>
        <v>0</v>
      </c>
      <c r="AB32" s="123">
        <v>1030000</v>
      </c>
      <c r="AC32" s="123">
        <f t="shared" si="11"/>
        <v>20000</v>
      </c>
      <c r="AD32" s="128">
        <v>1000000</v>
      </c>
      <c r="AE32" s="123">
        <f t="shared" si="12"/>
        <v>19417.475728155339</v>
      </c>
      <c r="AF32" s="123">
        <f t="shared" si="8"/>
        <v>-108800</v>
      </c>
      <c r="AG32" s="115"/>
      <c r="AH32" s="115"/>
      <c r="AI32" s="115"/>
      <c r="AJ32" s="115"/>
      <c r="AK32" s="115"/>
      <c r="AL32" s="115"/>
    </row>
    <row r="33" spans="1:38" x14ac:dyDescent="0.25">
      <c r="A33" s="113">
        <v>29</v>
      </c>
      <c r="B33" s="53" t="s">
        <v>498</v>
      </c>
      <c r="C33" s="60" t="s">
        <v>499</v>
      </c>
      <c r="D33" s="54">
        <v>7</v>
      </c>
      <c r="E33" s="54">
        <v>9</v>
      </c>
      <c r="F33" s="54">
        <v>9</v>
      </c>
      <c r="G33" s="54" t="s">
        <v>487</v>
      </c>
      <c r="H33" s="54">
        <v>3</v>
      </c>
      <c r="I33" s="54">
        <v>2</v>
      </c>
      <c r="J33" s="54">
        <v>51.4</v>
      </c>
      <c r="K33" s="54">
        <v>49.7</v>
      </c>
      <c r="L33" s="54">
        <v>28.4</v>
      </c>
      <c r="M33" s="54">
        <v>2014</v>
      </c>
      <c r="N33" s="55">
        <f t="shared" si="13"/>
        <v>1130800</v>
      </c>
      <c r="O33" s="108">
        <v>1117600</v>
      </c>
      <c r="P33" s="56">
        <f t="shared" si="0"/>
        <v>13200</v>
      </c>
      <c r="Q33" s="57">
        <f t="shared" si="1"/>
        <v>1.1673151750972763E-2</v>
      </c>
      <c r="R33" s="101">
        <f t="shared" si="2"/>
        <v>22000</v>
      </c>
      <c r="S33" s="99">
        <f t="shared" si="3"/>
        <v>21743.190661478598</v>
      </c>
      <c r="T33" s="99">
        <v>0</v>
      </c>
      <c r="U33" s="99">
        <v>0</v>
      </c>
      <c r="V33" s="106">
        <f t="shared" si="4"/>
        <v>0</v>
      </c>
      <c r="W33" s="100">
        <f t="shared" si="5"/>
        <v>0</v>
      </c>
      <c r="X33" s="102">
        <f t="shared" si="6"/>
        <v>0</v>
      </c>
      <c r="Y33" s="123">
        <v>1644800</v>
      </c>
      <c r="Z33" s="123"/>
      <c r="AA33" s="123">
        <f t="shared" si="7"/>
        <v>0</v>
      </c>
      <c r="AB33" s="123">
        <v>1028000</v>
      </c>
      <c r="AC33" s="123">
        <f t="shared" si="11"/>
        <v>20000</v>
      </c>
      <c r="AD33" s="128">
        <v>1000000</v>
      </c>
      <c r="AE33" s="123">
        <f t="shared" si="12"/>
        <v>19455.252918287937</v>
      </c>
      <c r="AF33" s="123">
        <f t="shared" si="8"/>
        <v>-117600</v>
      </c>
      <c r="AG33" s="115"/>
      <c r="AH33" s="115"/>
      <c r="AI33" s="115"/>
      <c r="AJ33" s="115"/>
      <c r="AK33" s="115"/>
      <c r="AL33" s="115"/>
    </row>
    <row r="34" spans="1:38" ht="17.25" customHeight="1" x14ac:dyDescent="0.25">
      <c r="A34" s="113">
        <v>30</v>
      </c>
      <c r="B34" s="53" t="s">
        <v>493</v>
      </c>
      <c r="C34" s="60" t="s">
        <v>500</v>
      </c>
      <c r="D34" s="54">
        <v>9</v>
      </c>
      <c r="E34" s="54">
        <v>9</v>
      </c>
      <c r="F34" s="54">
        <v>9</v>
      </c>
      <c r="G34" s="54" t="s">
        <v>487</v>
      </c>
      <c r="H34" s="54">
        <v>3</v>
      </c>
      <c r="I34" s="54">
        <v>3</v>
      </c>
      <c r="J34" s="54">
        <v>58.8</v>
      </c>
      <c r="K34" s="54">
        <v>56.4</v>
      </c>
      <c r="L34" s="54">
        <v>37.799999999999997</v>
      </c>
      <c r="M34" s="54">
        <v>2015</v>
      </c>
      <c r="N34" s="55">
        <f>J34*27500</f>
        <v>1617000</v>
      </c>
      <c r="O34" s="109">
        <v>1618872.11</v>
      </c>
      <c r="P34" s="56">
        <f t="shared" si="0"/>
        <v>-1872.1100000001024</v>
      </c>
      <c r="Q34" s="57">
        <f t="shared" si="1"/>
        <v>0</v>
      </c>
      <c r="R34" s="101">
        <f t="shared" si="2"/>
        <v>27500</v>
      </c>
      <c r="S34" s="99">
        <f t="shared" si="3"/>
        <v>27500</v>
      </c>
      <c r="T34" s="99">
        <f>GETPIVOTDATA("Среднее по полю Удельная цена сделки/ предложения, руб./кв.м.",'Росреестр анализ'!$A$3,"Город / Нас.пункт","Буздяк")</f>
        <v>23137.839</v>
      </c>
      <c r="U34" s="99">
        <v>23000</v>
      </c>
      <c r="V34" s="106">
        <f t="shared" si="4"/>
        <v>1352400</v>
      </c>
      <c r="W34" s="100">
        <f t="shared" si="5"/>
        <v>0.16460355846145258</v>
      </c>
      <c r="X34" s="102">
        <f t="shared" si="6"/>
        <v>-266472.1100000001</v>
      </c>
      <c r="Y34" s="123">
        <v>1687560</v>
      </c>
      <c r="Z34" s="123">
        <v>1360504.9331999999</v>
      </c>
      <c r="AA34" s="123">
        <f t="shared" si="7"/>
        <v>23137.839</v>
      </c>
      <c r="AB34" s="123">
        <v>1300000</v>
      </c>
      <c r="AC34" s="123">
        <f t="shared" si="11"/>
        <v>22108.843537414967</v>
      </c>
      <c r="AD34" s="128">
        <f t="shared" ref="AD34:AD52" si="14">AE34*J34</f>
        <v>1293600</v>
      </c>
      <c r="AE34" s="123">
        <v>22000</v>
      </c>
      <c r="AF34" s="123">
        <f t="shared" si="8"/>
        <v>-325272.1100000001</v>
      </c>
      <c r="AG34" s="115"/>
      <c r="AH34" s="115"/>
      <c r="AI34" s="115"/>
      <c r="AJ34" s="115"/>
      <c r="AK34" s="115"/>
      <c r="AL34" s="115"/>
    </row>
    <row r="35" spans="1:38" x14ac:dyDescent="0.25">
      <c r="A35" s="113">
        <v>31</v>
      </c>
      <c r="B35" s="53" t="s">
        <v>493</v>
      </c>
      <c r="C35" s="60" t="s">
        <v>500</v>
      </c>
      <c r="D35" s="54">
        <v>24</v>
      </c>
      <c r="E35" s="54">
        <v>24</v>
      </c>
      <c r="F35" s="54">
        <v>24</v>
      </c>
      <c r="G35" s="54" t="s">
        <v>487</v>
      </c>
      <c r="H35" s="54">
        <v>1</v>
      </c>
      <c r="I35" s="54">
        <v>3</v>
      </c>
      <c r="J35" s="54">
        <v>58.6</v>
      </c>
      <c r="K35" s="54">
        <v>56.2</v>
      </c>
      <c r="L35" s="54">
        <v>37.799999999999997</v>
      </c>
      <c r="M35" s="54">
        <v>2015</v>
      </c>
      <c r="N35" s="55">
        <f>J35*27500</f>
        <v>1611500</v>
      </c>
      <c r="O35" s="109">
        <v>1615153.6</v>
      </c>
      <c r="P35" s="56">
        <f t="shared" si="0"/>
        <v>-3653.6000000000931</v>
      </c>
      <c r="Q35" s="57">
        <f t="shared" si="1"/>
        <v>0</v>
      </c>
      <c r="R35" s="101">
        <f t="shared" si="2"/>
        <v>27500</v>
      </c>
      <c r="S35" s="99">
        <f t="shared" si="3"/>
        <v>27500</v>
      </c>
      <c r="T35" s="99">
        <f>GETPIVOTDATA("Среднее по полю Удельная цена сделки/ предложения, руб./кв.м.",'Росреестр анализ'!$A$3,"Город / Нас.пункт","Буздяк")</f>
        <v>23137.839</v>
      </c>
      <c r="U35" s="99">
        <v>23000</v>
      </c>
      <c r="V35" s="106">
        <f t="shared" si="4"/>
        <v>1347800</v>
      </c>
      <c r="W35" s="100">
        <f t="shared" si="5"/>
        <v>0.16552828164454456</v>
      </c>
      <c r="X35" s="102">
        <f t="shared" si="6"/>
        <v>-267353.60000000009</v>
      </c>
      <c r="Y35" s="123">
        <v>1681820</v>
      </c>
      <c r="Z35" s="123">
        <v>1355877.3654</v>
      </c>
      <c r="AA35" s="123">
        <f t="shared" si="7"/>
        <v>23137.839</v>
      </c>
      <c r="AB35" s="123">
        <v>1300000</v>
      </c>
      <c r="AC35" s="123">
        <f t="shared" si="11"/>
        <v>22184.300341296926</v>
      </c>
      <c r="AD35" s="128">
        <f t="shared" si="14"/>
        <v>1289200</v>
      </c>
      <c r="AE35" s="123">
        <v>22000</v>
      </c>
      <c r="AF35" s="123">
        <f t="shared" si="8"/>
        <v>-325953.60000000009</v>
      </c>
      <c r="AG35" s="115"/>
      <c r="AH35" s="115"/>
      <c r="AI35" s="115"/>
      <c r="AJ35" s="115"/>
      <c r="AK35" s="115"/>
      <c r="AL35" s="115"/>
    </row>
    <row r="36" spans="1:38" ht="14.25" customHeight="1" x14ac:dyDescent="0.25">
      <c r="A36" s="113">
        <v>32</v>
      </c>
      <c r="B36" s="53" t="s">
        <v>493</v>
      </c>
      <c r="C36" s="60" t="s">
        <v>500</v>
      </c>
      <c r="D36" s="54">
        <v>27</v>
      </c>
      <c r="E36" s="54">
        <v>27</v>
      </c>
      <c r="F36" s="54">
        <v>27</v>
      </c>
      <c r="G36" s="54" t="s">
        <v>487</v>
      </c>
      <c r="H36" s="54">
        <v>2</v>
      </c>
      <c r="I36" s="54">
        <v>3</v>
      </c>
      <c r="J36" s="54">
        <v>58.9</v>
      </c>
      <c r="K36" s="54">
        <v>56.5</v>
      </c>
      <c r="L36" s="54">
        <v>37.799999999999997</v>
      </c>
      <c r="M36" s="54">
        <v>2015</v>
      </c>
      <c r="N36" s="55">
        <f>J36*27500</f>
        <v>1619750</v>
      </c>
      <c r="O36" s="109">
        <v>1615153.59</v>
      </c>
      <c r="P36" s="56">
        <f t="shared" si="0"/>
        <v>4596.4099999999162</v>
      </c>
      <c r="Q36" s="57">
        <f t="shared" si="1"/>
        <v>2.8377280444512524E-3</v>
      </c>
      <c r="R36" s="101">
        <f t="shared" si="2"/>
        <v>27500</v>
      </c>
      <c r="S36" s="99">
        <f t="shared" si="3"/>
        <v>27421.96247877759</v>
      </c>
      <c r="T36" s="99">
        <f>GETPIVOTDATA("Среднее по полю Удельная цена сделки/ предложения, руб./кв.м.",'Росреестр анализ'!$A$3,"Город / Нас.пункт","Буздяк")</f>
        <v>23137.839</v>
      </c>
      <c r="U36" s="99">
        <v>23000</v>
      </c>
      <c r="V36" s="106">
        <f t="shared" si="4"/>
        <v>1354700</v>
      </c>
      <c r="W36" s="100">
        <f t="shared" si="5"/>
        <v>0.16125623693781349</v>
      </c>
      <c r="X36" s="102">
        <f t="shared" si="6"/>
        <v>-260453.59000000008</v>
      </c>
      <c r="Y36" s="123">
        <v>1690430</v>
      </c>
      <c r="Z36" s="123">
        <v>1362818.7171</v>
      </c>
      <c r="AA36" s="123">
        <f t="shared" si="7"/>
        <v>23137.839</v>
      </c>
      <c r="AB36" s="123">
        <v>1300000</v>
      </c>
      <c r="AC36" s="123">
        <f t="shared" si="11"/>
        <v>22071.307300509339</v>
      </c>
      <c r="AD36" s="128">
        <f t="shared" si="14"/>
        <v>1295800</v>
      </c>
      <c r="AE36" s="123">
        <v>22000</v>
      </c>
      <c r="AF36" s="123">
        <f t="shared" si="8"/>
        <v>-319353.59000000008</v>
      </c>
      <c r="AG36" s="115"/>
      <c r="AH36" s="115"/>
      <c r="AI36" s="115"/>
      <c r="AJ36" s="115"/>
      <c r="AK36" s="115"/>
      <c r="AL36" s="115"/>
    </row>
    <row r="37" spans="1:38" ht="30" x14ac:dyDescent="0.25">
      <c r="A37" s="113">
        <v>33</v>
      </c>
      <c r="B37" s="53" t="s">
        <v>501</v>
      </c>
      <c r="C37" s="60" t="s">
        <v>502</v>
      </c>
      <c r="D37" s="54">
        <v>1</v>
      </c>
      <c r="E37" s="54">
        <v>1</v>
      </c>
      <c r="F37" s="54">
        <v>1</v>
      </c>
      <c r="G37" s="54" t="s">
        <v>487</v>
      </c>
      <c r="H37" s="54">
        <v>1</v>
      </c>
      <c r="I37" s="54">
        <v>3</v>
      </c>
      <c r="J37" s="54">
        <v>59.2</v>
      </c>
      <c r="K37" s="54">
        <v>56.7</v>
      </c>
      <c r="L37" s="54">
        <v>37.6</v>
      </c>
      <c r="M37" s="54">
        <v>2015</v>
      </c>
      <c r="N37" s="55">
        <f>J37*32300</f>
        <v>1912160</v>
      </c>
      <c r="O37" s="107">
        <v>1786683.83</v>
      </c>
      <c r="P37" s="56">
        <f t="shared" si="0"/>
        <v>125476.16999999993</v>
      </c>
      <c r="Q37" s="57">
        <f t="shared" si="1"/>
        <v>6.5620120701196508E-2</v>
      </c>
      <c r="R37" s="101">
        <f t="shared" si="2"/>
        <v>32300</v>
      </c>
      <c r="S37" s="99">
        <f t="shared" si="3"/>
        <v>30180.470101351351</v>
      </c>
      <c r="T37" s="99">
        <f>GETPIVOTDATA("Среднее по полю Удельная цена сделки/ предложения, руб./кв.м.",'Росреестр анализ'!$A$3,"Город / Нас.пункт","Учалы")</f>
        <v>26804.008712871295</v>
      </c>
      <c r="U37" s="99">
        <v>28000</v>
      </c>
      <c r="V37" s="106">
        <f t="shared" si="4"/>
        <v>1657600</v>
      </c>
      <c r="W37" s="100">
        <f t="shared" ref="W37:W68" si="15">IF(U37&gt;0,(O37-J37*U37)/O37,0)</f>
        <v>7.224771827704965E-2</v>
      </c>
      <c r="X37" s="102">
        <f t="shared" ref="X37:X68" si="16">IF(U37&gt;0,J37*U37-O37,0)</f>
        <v>-129083.83000000007</v>
      </c>
      <c r="Y37" s="123">
        <v>1929920</v>
      </c>
      <c r="Z37" s="123">
        <v>1586797.3158019807</v>
      </c>
      <c r="AA37" s="123">
        <f t="shared" ref="AA37:AA68" si="17">Z37/J37</f>
        <v>26804.008712871295</v>
      </c>
      <c r="AB37" s="123">
        <v>1759187</v>
      </c>
      <c r="AC37" s="123">
        <f t="shared" si="11"/>
        <v>29715.99662162162</v>
      </c>
      <c r="AD37" s="128">
        <f t="shared" si="14"/>
        <v>1539200</v>
      </c>
      <c r="AE37" s="123">
        <v>26000</v>
      </c>
      <c r="AF37" s="123">
        <f t="shared" ref="AF37:AF68" si="18">AD37-O37</f>
        <v>-247483.83000000007</v>
      </c>
      <c r="AG37" s="115"/>
      <c r="AH37" s="115"/>
      <c r="AI37" s="115"/>
      <c r="AJ37" s="115"/>
      <c r="AK37" s="115"/>
      <c r="AL37" s="115"/>
    </row>
    <row r="38" spans="1:38" x14ac:dyDescent="0.25">
      <c r="A38" s="113">
        <v>34</v>
      </c>
      <c r="B38" s="53" t="s">
        <v>503</v>
      </c>
      <c r="C38" s="60" t="s">
        <v>504</v>
      </c>
      <c r="D38" s="54">
        <v>13</v>
      </c>
      <c r="E38" s="54">
        <v>13</v>
      </c>
      <c r="F38" s="54">
        <v>13</v>
      </c>
      <c r="G38" s="54" t="s">
        <v>487</v>
      </c>
      <c r="H38" s="54">
        <v>5</v>
      </c>
      <c r="I38" s="54">
        <v>3</v>
      </c>
      <c r="J38" s="54">
        <v>60.5</v>
      </c>
      <c r="K38" s="54">
        <v>58.3</v>
      </c>
      <c r="L38" s="54">
        <v>38.4</v>
      </c>
      <c r="M38" s="54">
        <v>2015</v>
      </c>
      <c r="N38" s="55">
        <f>J38*29000</f>
        <v>1754500</v>
      </c>
      <c r="O38" s="107">
        <v>1659920.1</v>
      </c>
      <c r="P38" s="56">
        <f t="shared" si="0"/>
        <v>94579.899999999907</v>
      </c>
      <c r="Q38" s="57">
        <f t="shared" si="1"/>
        <v>5.3907039042462183E-2</v>
      </c>
      <c r="R38" s="101">
        <f t="shared" si="2"/>
        <v>29000</v>
      </c>
      <c r="S38" s="99">
        <f t="shared" si="3"/>
        <v>27436.695867768598</v>
      </c>
      <c r="T38" s="99">
        <f>GETPIVOTDATA("Среднее по полю Удельная цена сделки/ предложения, руб./кв.м.",'Росреестр анализ'!$A$3,"Город / Нас.пункт","Мелеуз")</f>
        <v>24282.314324324318</v>
      </c>
      <c r="U38" s="99">
        <v>22000</v>
      </c>
      <c r="V38" s="106">
        <f t="shared" si="4"/>
        <v>1331000</v>
      </c>
      <c r="W38" s="100">
        <f t="shared" si="15"/>
        <v>0.19815417621607212</v>
      </c>
      <c r="X38" s="102">
        <f t="shared" si="16"/>
        <v>-328920.10000000009</v>
      </c>
      <c r="Y38" s="123">
        <v>1996500</v>
      </c>
      <c r="Z38" s="123">
        <v>1469080.0166216213</v>
      </c>
      <c r="AA38" s="123">
        <f t="shared" si="17"/>
        <v>24282.314324324321</v>
      </c>
      <c r="AB38" s="123"/>
      <c r="AC38" s="123">
        <f t="shared" si="11"/>
        <v>0</v>
      </c>
      <c r="AD38" s="128">
        <f t="shared" si="14"/>
        <v>1331000</v>
      </c>
      <c r="AE38" s="123">
        <v>22000</v>
      </c>
      <c r="AF38" s="123">
        <f t="shared" si="18"/>
        <v>-328920.10000000009</v>
      </c>
      <c r="AG38" s="115"/>
      <c r="AH38" s="115"/>
      <c r="AI38" s="115"/>
      <c r="AJ38" s="115"/>
      <c r="AK38" s="115"/>
      <c r="AL38" s="115"/>
    </row>
    <row r="39" spans="1:38" x14ac:dyDescent="0.25">
      <c r="A39" s="113">
        <v>35</v>
      </c>
      <c r="B39" s="53" t="s">
        <v>505</v>
      </c>
      <c r="C39" s="60" t="s">
        <v>506</v>
      </c>
      <c r="D39" s="54">
        <v>8</v>
      </c>
      <c r="E39" s="54">
        <v>8</v>
      </c>
      <c r="F39" s="54">
        <v>8</v>
      </c>
      <c r="G39" s="54" t="s">
        <v>487</v>
      </c>
      <c r="H39" s="54">
        <v>2</v>
      </c>
      <c r="I39" s="54">
        <v>2</v>
      </c>
      <c r="J39" s="54">
        <v>47.5</v>
      </c>
      <c r="K39" s="54">
        <v>46.1</v>
      </c>
      <c r="L39" s="54">
        <v>25.8</v>
      </c>
      <c r="M39" s="54">
        <v>2015</v>
      </c>
      <c r="N39" s="55">
        <f>J39*27000</f>
        <v>1282500</v>
      </c>
      <c r="O39" s="107">
        <v>1246709.29</v>
      </c>
      <c r="P39" s="56">
        <f t="shared" si="0"/>
        <v>35790.709999999963</v>
      </c>
      <c r="Q39" s="57">
        <f t="shared" si="1"/>
        <v>2.7906986354775801E-2</v>
      </c>
      <c r="R39" s="101">
        <f t="shared" si="2"/>
        <v>27000</v>
      </c>
      <c r="S39" s="99">
        <f t="shared" si="3"/>
        <v>26246.511368421052</v>
      </c>
      <c r="T39" s="99">
        <f>GETPIVOTDATA("Среднее по полю Удельная цена сделки/ предложения, руб./кв.м.",'Росреестр анализ'!$A$3,"Город / Нас.пункт","Новобелокатай")</f>
        <v>10151.047500000001</v>
      </c>
      <c r="U39" s="99">
        <v>21000</v>
      </c>
      <c r="V39" s="106">
        <f t="shared" si="4"/>
        <v>997500</v>
      </c>
      <c r="W39" s="100">
        <f t="shared" si="15"/>
        <v>0.19989366566763936</v>
      </c>
      <c r="X39" s="102">
        <f t="shared" si="16"/>
        <v>-249209.29000000004</v>
      </c>
      <c r="Y39" s="123">
        <v>1377500</v>
      </c>
      <c r="Z39" s="123">
        <v>482174.75625000003</v>
      </c>
      <c r="AA39" s="123">
        <f t="shared" si="17"/>
        <v>10151.047500000001</v>
      </c>
      <c r="AB39" s="123">
        <v>1000000</v>
      </c>
      <c r="AC39" s="123">
        <f t="shared" si="11"/>
        <v>21052.63157894737</v>
      </c>
      <c r="AD39" s="128">
        <f t="shared" si="14"/>
        <v>950000</v>
      </c>
      <c r="AE39" s="123">
        <v>20000</v>
      </c>
      <c r="AF39" s="123">
        <f t="shared" si="18"/>
        <v>-296709.29000000004</v>
      </c>
      <c r="AG39" s="115"/>
      <c r="AH39" s="115"/>
      <c r="AI39" s="115"/>
      <c r="AJ39" s="115"/>
      <c r="AK39" s="115"/>
      <c r="AL39" s="115"/>
    </row>
    <row r="40" spans="1:38" x14ac:dyDescent="0.25">
      <c r="A40" s="113">
        <v>36</v>
      </c>
      <c r="B40" s="53" t="s">
        <v>505</v>
      </c>
      <c r="C40" s="60" t="s">
        <v>506</v>
      </c>
      <c r="D40" s="54">
        <v>17</v>
      </c>
      <c r="E40" s="54">
        <v>17</v>
      </c>
      <c r="F40" s="54">
        <v>17</v>
      </c>
      <c r="G40" s="54" t="s">
        <v>487</v>
      </c>
      <c r="H40" s="54">
        <v>2</v>
      </c>
      <c r="I40" s="54">
        <v>2</v>
      </c>
      <c r="J40" s="54">
        <v>47.3</v>
      </c>
      <c r="K40" s="54">
        <v>45.9</v>
      </c>
      <c r="L40" s="54">
        <v>25.8</v>
      </c>
      <c r="M40" s="54">
        <v>2015</v>
      </c>
      <c r="N40" s="55">
        <f>J40*27000</f>
        <v>1277100</v>
      </c>
      <c r="O40" s="107">
        <v>1209459.29</v>
      </c>
      <c r="P40" s="56">
        <f t="shared" si="0"/>
        <v>67640.709999999963</v>
      </c>
      <c r="Q40" s="57">
        <f t="shared" si="1"/>
        <v>5.2964301934069348E-2</v>
      </c>
      <c r="R40" s="101">
        <f t="shared" si="2"/>
        <v>27000</v>
      </c>
      <c r="S40" s="99">
        <f t="shared" si="3"/>
        <v>25569.963847780131</v>
      </c>
      <c r="T40" s="99">
        <f>GETPIVOTDATA("Среднее по полю Удельная цена сделки/ предложения, руб./кв.м.",'Росреестр анализ'!$A$3,"Город / Нас.пункт","Новобелокатай")</f>
        <v>10151.047500000001</v>
      </c>
      <c r="U40" s="99">
        <v>21000</v>
      </c>
      <c r="V40" s="106">
        <f t="shared" si="4"/>
        <v>993299.99999999988</v>
      </c>
      <c r="W40" s="100">
        <f t="shared" si="15"/>
        <v>0.17872390727595316</v>
      </c>
      <c r="X40" s="102">
        <f t="shared" si="16"/>
        <v>-216159.29000000015</v>
      </c>
      <c r="Y40" s="123">
        <v>1371700</v>
      </c>
      <c r="Z40" s="123">
        <v>480144.54674999998</v>
      </c>
      <c r="AA40" s="123">
        <f t="shared" si="17"/>
        <v>10151.047500000001</v>
      </c>
      <c r="AB40" s="123">
        <v>1000000</v>
      </c>
      <c r="AC40" s="123">
        <f t="shared" si="11"/>
        <v>21141.649048625794</v>
      </c>
      <c r="AD40" s="128">
        <f t="shared" si="14"/>
        <v>946000</v>
      </c>
      <c r="AE40" s="123">
        <v>20000</v>
      </c>
      <c r="AF40" s="123">
        <f t="shared" si="18"/>
        <v>-263459.29000000004</v>
      </c>
      <c r="AG40" s="115"/>
      <c r="AH40" s="115"/>
      <c r="AI40" s="115"/>
      <c r="AJ40" s="115"/>
      <c r="AK40" s="115"/>
      <c r="AL40" s="115"/>
    </row>
    <row r="41" spans="1:38" x14ac:dyDescent="0.25">
      <c r="A41" s="113">
        <v>37</v>
      </c>
      <c r="B41" s="53" t="s">
        <v>505</v>
      </c>
      <c r="C41" s="60" t="s">
        <v>506</v>
      </c>
      <c r="D41" s="54">
        <v>21</v>
      </c>
      <c r="E41" s="54">
        <v>21</v>
      </c>
      <c r="F41" s="54">
        <v>21</v>
      </c>
      <c r="G41" s="54" t="s">
        <v>487</v>
      </c>
      <c r="H41" s="54">
        <v>3</v>
      </c>
      <c r="I41" s="54">
        <v>2</v>
      </c>
      <c r="J41" s="54">
        <v>47.4</v>
      </c>
      <c r="K41" s="54">
        <v>46</v>
      </c>
      <c r="L41" s="54">
        <v>25.7</v>
      </c>
      <c r="M41" s="54">
        <v>2015</v>
      </c>
      <c r="N41" s="55">
        <f>J41*27000</f>
        <v>1279800</v>
      </c>
      <c r="O41" s="107">
        <v>1209459.29</v>
      </c>
      <c r="P41" s="56">
        <f t="shared" si="0"/>
        <v>70340.709999999963</v>
      </c>
      <c r="Q41" s="57">
        <f t="shared" si="1"/>
        <v>5.4962267541803375E-2</v>
      </c>
      <c r="R41" s="101">
        <f t="shared" si="2"/>
        <v>27000</v>
      </c>
      <c r="S41" s="99">
        <f t="shared" si="3"/>
        <v>25516.018776371311</v>
      </c>
      <c r="T41" s="99">
        <f>GETPIVOTDATA("Среднее по полю Удельная цена сделки/ предложения, руб./кв.м.",'Росреестр анализ'!$A$3,"Город / Нас.пункт","Новобелокатай")</f>
        <v>10151.047500000001</v>
      </c>
      <c r="U41" s="99">
        <v>21000</v>
      </c>
      <c r="V41" s="106">
        <f t="shared" si="4"/>
        <v>995400</v>
      </c>
      <c r="W41" s="100">
        <f t="shared" si="15"/>
        <v>0.17698759418351323</v>
      </c>
      <c r="X41" s="102">
        <f t="shared" si="16"/>
        <v>-214059.29000000004</v>
      </c>
      <c r="Y41" s="123">
        <v>1374600</v>
      </c>
      <c r="Z41" s="123">
        <v>481159.65150000004</v>
      </c>
      <c r="AA41" s="123">
        <f t="shared" si="17"/>
        <v>10151.047500000001</v>
      </c>
      <c r="AB41" s="123">
        <v>1000000</v>
      </c>
      <c r="AC41" s="123">
        <f t="shared" si="11"/>
        <v>21097.04641350211</v>
      </c>
      <c r="AD41" s="128">
        <f t="shared" si="14"/>
        <v>948000</v>
      </c>
      <c r="AE41" s="123">
        <v>20000</v>
      </c>
      <c r="AF41" s="123">
        <f t="shared" si="18"/>
        <v>-261459.29000000004</v>
      </c>
      <c r="AG41" s="115"/>
      <c r="AH41" s="115"/>
      <c r="AI41" s="115"/>
      <c r="AJ41" s="115"/>
      <c r="AK41" s="115"/>
      <c r="AL41" s="115"/>
    </row>
    <row r="42" spans="1:38" x14ac:dyDescent="0.25">
      <c r="A42" s="113">
        <v>38</v>
      </c>
      <c r="B42" s="53" t="s">
        <v>507</v>
      </c>
      <c r="C42" s="60" t="s">
        <v>508</v>
      </c>
      <c r="D42" s="54">
        <v>2</v>
      </c>
      <c r="E42" s="54">
        <v>2</v>
      </c>
      <c r="F42" s="54">
        <v>2</v>
      </c>
      <c r="G42" s="54" t="s">
        <v>487</v>
      </c>
      <c r="H42" s="54">
        <v>1</v>
      </c>
      <c r="I42" s="54">
        <v>2</v>
      </c>
      <c r="J42" s="54">
        <v>48.3</v>
      </c>
      <c r="K42" s="54">
        <v>46.8</v>
      </c>
      <c r="L42" s="54">
        <v>26.1</v>
      </c>
      <c r="M42" s="54">
        <v>2015</v>
      </c>
      <c r="N42" s="55">
        <f>J42*28000</f>
        <v>1352400</v>
      </c>
      <c r="O42" s="109">
        <v>1278567.45</v>
      </c>
      <c r="P42" s="56">
        <f t="shared" si="0"/>
        <v>73832.550000000047</v>
      </c>
      <c r="Q42" s="57">
        <f t="shared" si="1"/>
        <v>5.4593722271517334E-2</v>
      </c>
      <c r="R42" s="101">
        <f t="shared" si="2"/>
        <v>28000</v>
      </c>
      <c r="S42" s="99">
        <f t="shared" si="3"/>
        <v>26471.375776397515</v>
      </c>
      <c r="T42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42" s="99">
        <v>20600</v>
      </c>
      <c r="V42" s="106">
        <f t="shared" si="4"/>
        <v>994979.99999999988</v>
      </c>
      <c r="W42" s="100">
        <f t="shared" si="15"/>
        <v>0.22180093040848184</v>
      </c>
      <c r="X42" s="102">
        <f t="shared" si="16"/>
        <v>-283587.45000000007</v>
      </c>
      <c r="Y42" s="123">
        <v>1402004.0999999999</v>
      </c>
      <c r="Z42" s="123">
        <v>996262.60649999999</v>
      </c>
      <c r="AA42" s="123">
        <f t="shared" si="17"/>
        <v>20626.555</v>
      </c>
      <c r="AB42" s="123">
        <v>1000000</v>
      </c>
      <c r="AC42" s="123">
        <f t="shared" si="11"/>
        <v>20703.933747412011</v>
      </c>
      <c r="AD42" s="128">
        <f t="shared" si="14"/>
        <v>966000</v>
      </c>
      <c r="AE42" s="123">
        <v>20000</v>
      </c>
      <c r="AF42" s="123">
        <f t="shared" si="18"/>
        <v>-312567.44999999995</v>
      </c>
      <c r="AG42" s="115"/>
      <c r="AH42" s="115"/>
      <c r="AI42" s="115"/>
      <c r="AJ42" s="115"/>
      <c r="AK42" s="115"/>
      <c r="AL42" s="115"/>
    </row>
    <row r="43" spans="1:38" x14ac:dyDescent="0.25">
      <c r="A43" s="113">
        <v>39</v>
      </c>
      <c r="B43" s="53" t="s">
        <v>509</v>
      </c>
      <c r="C43" s="60" t="s">
        <v>510</v>
      </c>
      <c r="D43" s="54">
        <v>8</v>
      </c>
      <c r="E43" s="54">
        <v>8</v>
      </c>
      <c r="F43" s="54">
        <v>8</v>
      </c>
      <c r="G43" s="54" t="s">
        <v>487</v>
      </c>
      <c r="H43" s="54">
        <v>1</v>
      </c>
      <c r="I43" s="54">
        <v>3</v>
      </c>
      <c r="J43" s="54">
        <v>72.400000000000006</v>
      </c>
      <c r="K43" s="54">
        <v>71.2</v>
      </c>
      <c r="L43" s="54">
        <v>42.1</v>
      </c>
      <c r="M43" s="54">
        <v>2015</v>
      </c>
      <c r="N43" s="55">
        <f>J43*28000</f>
        <v>2027200.0000000002</v>
      </c>
      <c r="O43" s="109">
        <v>1879065.79</v>
      </c>
      <c r="P43" s="56">
        <f t="shared" si="0"/>
        <v>148134.2100000002</v>
      </c>
      <c r="Q43" s="57">
        <f t="shared" si="1"/>
        <v>7.3073308011049817E-2</v>
      </c>
      <c r="R43" s="101">
        <f t="shared" si="2"/>
        <v>28000</v>
      </c>
      <c r="S43" s="99">
        <f t="shared" si="3"/>
        <v>25953.947375690605</v>
      </c>
      <c r="T43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43" s="99">
        <v>19000</v>
      </c>
      <c r="V43" s="106">
        <f t="shared" si="4"/>
        <v>1375600</v>
      </c>
      <c r="W43" s="100">
        <f t="shared" si="15"/>
        <v>0.26793409399465468</v>
      </c>
      <c r="X43" s="102">
        <f t="shared" si="16"/>
        <v>-503465.79000000004</v>
      </c>
      <c r="Y43" s="123">
        <v>2135800</v>
      </c>
      <c r="Z43" s="123">
        <v>1483979.4696</v>
      </c>
      <c r="AA43" s="123">
        <f t="shared" si="17"/>
        <v>20496.953999999998</v>
      </c>
      <c r="AB43" s="123">
        <v>1000000</v>
      </c>
      <c r="AC43" s="123">
        <f t="shared" si="11"/>
        <v>13812.154696132595</v>
      </c>
      <c r="AD43" s="128">
        <f t="shared" si="14"/>
        <v>1375600</v>
      </c>
      <c r="AE43" s="123">
        <v>19000</v>
      </c>
      <c r="AF43" s="123">
        <f t="shared" si="18"/>
        <v>-503465.79000000004</v>
      </c>
      <c r="AG43" s="115"/>
      <c r="AH43" s="115"/>
      <c r="AI43" s="115"/>
      <c r="AJ43" s="115"/>
      <c r="AK43" s="115"/>
      <c r="AL43" s="115"/>
    </row>
    <row r="44" spans="1:38" x14ac:dyDescent="0.25">
      <c r="A44" s="113">
        <v>40</v>
      </c>
      <c r="B44" s="53" t="s">
        <v>509</v>
      </c>
      <c r="C44" s="60" t="s">
        <v>510</v>
      </c>
      <c r="D44" s="54">
        <v>28</v>
      </c>
      <c r="E44" s="54">
        <v>28</v>
      </c>
      <c r="F44" s="54">
        <v>28</v>
      </c>
      <c r="G44" s="54" t="s">
        <v>487</v>
      </c>
      <c r="H44" s="54">
        <v>3</v>
      </c>
      <c r="I44" s="54">
        <v>3</v>
      </c>
      <c r="J44" s="54">
        <v>72.3</v>
      </c>
      <c r="K44" s="54">
        <v>71.099999999999994</v>
      </c>
      <c r="L44" s="54">
        <v>41.9</v>
      </c>
      <c r="M44" s="54">
        <v>2015</v>
      </c>
      <c r="N44" s="55">
        <f>J44*28000</f>
        <v>2024400</v>
      </c>
      <c r="O44" s="109">
        <v>1828610.49</v>
      </c>
      <c r="P44" s="56">
        <f t="shared" si="0"/>
        <v>195789.51</v>
      </c>
      <c r="Q44" s="57">
        <f t="shared" si="1"/>
        <v>9.6714834024896265E-2</v>
      </c>
      <c r="R44" s="101">
        <f t="shared" si="2"/>
        <v>28000</v>
      </c>
      <c r="S44" s="99">
        <f t="shared" si="3"/>
        <v>25291.984647302907</v>
      </c>
      <c r="T44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44" s="99">
        <v>19000</v>
      </c>
      <c r="V44" s="106">
        <f t="shared" si="4"/>
        <v>1373700</v>
      </c>
      <c r="W44" s="100">
        <f t="shared" si="15"/>
        <v>0.24877385998152071</v>
      </c>
      <c r="X44" s="102">
        <f t="shared" si="16"/>
        <v>-454910.49</v>
      </c>
      <c r="Y44" s="123">
        <v>2132850</v>
      </c>
      <c r="Z44" s="123">
        <v>1481929.7741999999</v>
      </c>
      <c r="AA44" s="123">
        <f t="shared" si="17"/>
        <v>20496.953999999998</v>
      </c>
      <c r="AB44" s="123">
        <v>1000000</v>
      </c>
      <c r="AC44" s="123">
        <f t="shared" si="11"/>
        <v>13831.258644536654</v>
      </c>
      <c r="AD44" s="128">
        <f t="shared" si="14"/>
        <v>1373700</v>
      </c>
      <c r="AE44" s="123">
        <v>19000</v>
      </c>
      <c r="AF44" s="123">
        <f t="shared" si="18"/>
        <v>-454910.49</v>
      </c>
      <c r="AG44" s="115"/>
      <c r="AH44" s="115"/>
      <c r="AI44" s="115"/>
      <c r="AJ44" s="115"/>
      <c r="AK44" s="115"/>
      <c r="AL44" s="115"/>
    </row>
    <row r="45" spans="1:38" x14ac:dyDescent="0.25">
      <c r="A45" s="113">
        <v>41</v>
      </c>
      <c r="B45" s="53" t="s">
        <v>511</v>
      </c>
      <c r="C45" s="60" t="s">
        <v>512</v>
      </c>
      <c r="D45" s="54">
        <v>26</v>
      </c>
      <c r="E45" s="54">
        <v>26</v>
      </c>
      <c r="F45" s="54"/>
      <c r="G45" s="54"/>
      <c r="H45" s="54">
        <v>3</v>
      </c>
      <c r="I45" s="54">
        <v>1</v>
      </c>
      <c r="J45" s="54">
        <v>36.6</v>
      </c>
      <c r="K45" s="54">
        <v>35</v>
      </c>
      <c r="L45" s="54">
        <v>15</v>
      </c>
      <c r="M45" s="54">
        <v>2015</v>
      </c>
      <c r="N45" s="55">
        <f>J45*28000</f>
        <v>1024800</v>
      </c>
      <c r="O45" s="109">
        <v>1058933.8600000001</v>
      </c>
      <c r="P45" s="56">
        <f t="shared" si="0"/>
        <v>-34133.860000000102</v>
      </c>
      <c r="Q45" s="57">
        <f t="shared" si="1"/>
        <v>0</v>
      </c>
      <c r="R45" s="101">
        <f t="shared" si="2"/>
        <v>28000</v>
      </c>
      <c r="S45" s="99">
        <f t="shared" si="3"/>
        <v>28000</v>
      </c>
      <c r="T45" s="99"/>
      <c r="U45" s="99">
        <v>0</v>
      </c>
      <c r="V45" s="106">
        <f t="shared" si="4"/>
        <v>0</v>
      </c>
      <c r="W45" s="100">
        <f t="shared" si="15"/>
        <v>0</v>
      </c>
      <c r="X45" s="102">
        <f t="shared" si="16"/>
        <v>0</v>
      </c>
      <c r="Y45" s="123">
        <v>1046760</v>
      </c>
      <c r="Z45" s="123"/>
      <c r="AA45" s="123">
        <f t="shared" si="17"/>
        <v>0</v>
      </c>
      <c r="AB45" s="123"/>
      <c r="AC45" s="123">
        <f t="shared" si="11"/>
        <v>0</v>
      </c>
      <c r="AD45" s="128">
        <f t="shared" si="14"/>
        <v>805200</v>
      </c>
      <c r="AE45" s="123">
        <v>22000</v>
      </c>
      <c r="AF45" s="123">
        <f t="shared" si="18"/>
        <v>-253733.8600000001</v>
      </c>
      <c r="AG45" s="115"/>
      <c r="AH45" s="115"/>
      <c r="AI45" s="115"/>
      <c r="AJ45" s="115"/>
      <c r="AK45" s="115"/>
      <c r="AL45" s="115"/>
    </row>
    <row r="46" spans="1:38" x14ac:dyDescent="0.25">
      <c r="A46" s="113">
        <v>42</v>
      </c>
      <c r="B46" s="53" t="s">
        <v>511</v>
      </c>
      <c r="C46" s="60" t="s">
        <v>512</v>
      </c>
      <c r="D46" s="54">
        <v>29</v>
      </c>
      <c r="E46" s="54">
        <v>29</v>
      </c>
      <c r="F46" s="54"/>
      <c r="G46" s="54" t="s">
        <v>487</v>
      </c>
      <c r="H46" s="54">
        <v>3</v>
      </c>
      <c r="I46" s="54">
        <v>2</v>
      </c>
      <c r="J46" s="54">
        <v>60.1</v>
      </c>
      <c r="K46" s="54">
        <v>60.1</v>
      </c>
      <c r="L46" s="54">
        <v>30.8</v>
      </c>
      <c r="M46" s="54">
        <v>2015</v>
      </c>
      <c r="N46" s="55">
        <f>J46*28000</f>
        <v>1682800</v>
      </c>
      <c r="O46" s="109">
        <v>1805919.49</v>
      </c>
      <c r="P46" s="56">
        <f t="shared" si="0"/>
        <v>-123119.48999999999</v>
      </c>
      <c r="Q46" s="57">
        <f t="shared" si="1"/>
        <v>0</v>
      </c>
      <c r="R46" s="101">
        <f t="shared" si="2"/>
        <v>28000</v>
      </c>
      <c r="S46" s="99">
        <f t="shared" si="3"/>
        <v>28000</v>
      </c>
      <c r="T46" s="99"/>
      <c r="U46" s="99">
        <v>0</v>
      </c>
      <c r="V46" s="106">
        <f t="shared" si="4"/>
        <v>0</v>
      </c>
      <c r="W46" s="100">
        <f t="shared" si="15"/>
        <v>0</v>
      </c>
      <c r="X46" s="102">
        <f t="shared" si="16"/>
        <v>0</v>
      </c>
      <c r="Y46" s="123">
        <v>1718860</v>
      </c>
      <c r="Z46" s="123"/>
      <c r="AA46" s="123">
        <f t="shared" si="17"/>
        <v>0</v>
      </c>
      <c r="AB46" s="123"/>
      <c r="AC46" s="123">
        <f t="shared" ref="AC46:AC77" si="19">AB46/J46</f>
        <v>0</v>
      </c>
      <c r="AD46" s="128">
        <f t="shared" si="14"/>
        <v>1322200</v>
      </c>
      <c r="AE46" s="123">
        <v>22000</v>
      </c>
      <c r="AF46" s="123">
        <f t="shared" si="18"/>
        <v>-483719.49</v>
      </c>
      <c r="AG46" s="115"/>
      <c r="AH46" s="115"/>
      <c r="AI46" s="115"/>
      <c r="AJ46" s="115"/>
      <c r="AK46" s="115"/>
      <c r="AL46" s="115"/>
    </row>
    <row r="47" spans="1:38" ht="30" x14ac:dyDescent="0.25">
      <c r="A47" s="113">
        <v>43</v>
      </c>
      <c r="B47" s="53" t="s">
        <v>513</v>
      </c>
      <c r="C47" s="60" t="s">
        <v>514</v>
      </c>
      <c r="D47" s="54">
        <v>4</v>
      </c>
      <c r="E47" s="54">
        <v>4</v>
      </c>
      <c r="F47" s="54">
        <v>4</v>
      </c>
      <c r="G47" s="54" t="s">
        <v>487</v>
      </c>
      <c r="H47" s="54">
        <v>2</v>
      </c>
      <c r="I47" s="54">
        <v>3</v>
      </c>
      <c r="J47" s="54">
        <v>60</v>
      </c>
      <c r="K47" s="54">
        <v>57.7</v>
      </c>
      <c r="L47" s="54">
        <v>37.799999999999997</v>
      </c>
      <c r="M47" s="54">
        <v>2015</v>
      </c>
      <c r="N47" s="55">
        <f t="shared" ref="N47:N52" si="20">J47*31700</f>
        <v>1902000</v>
      </c>
      <c r="O47" s="109">
        <v>1699330.98</v>
      </c>
      <c r="P47" s="56">
        <f t="shared" si="0"/>
        <v>202669.02000000002</v>
      </c>
      <c r="Q47" s="57">
        <f t="shared" si="1"/>
        <v>0.10655574132492114</v>
      </c>
      <c r="R47" s="101">
        <f t="shared" si="2"/>
        <v>31700</v>
      </c>
      <c r="S47" s="99">
        <f t="shared" si="3"/>
        <v>28322.183000000001</v>
      </c>
      <c r="T47" s="99" t="e">
        <f>#REF!</f>
        <v>#REF!</v>
      </c>
      <c r="U47" s="99">
        <v>26000</v>
      </c>
      <c r="V47" s="106">
        <f t="shared" si="4"/>
        <v>1560000</v>
      </c>
      <c r="W47" s="100">
        <f t="shared" si="15"/>
        <v>8.1991667097130183E-2</v>
      </c>
      <c r="X47" s="102">
        <f t="shared" si="16"/>
        <v>-139330.97999999998</v>
      </c>
      <c r="Y47" s="123">
        <v>1920000</v>
      </c>
      <c r="Z47" s="123" t="e">
        <f t="shared" ref="Z47:Z52" si="21">J47*T47</f>
        <v>#REF!</v>
      </c>
      <c r="AA47" s="123" t="e">
        <f t="shared" si="17"/>
        <v>#REF!</v>
      </c>
      <c r="AB47" s="123">
        <v>1740000</v>
      </c>
      <c r="AC47" s="123">
        <f t="shared" si="19"/>
        <v>29000</v>
      </c>
      <c r="AD47" s="128">
        <f t="shared" si="14"/>
        <v>1560000</v>
      </c>
      <c r="AE47" s="123">
        <v>26000</v>
      </c>
      <c r="AF47" s="123">
        <f t="shared" si="18"/>
        <v>-139330.97999999998</v>
      </c>
      <c r="AG47" s="115"/>
      <c r="AH47" s="115"/>
      <c r="AI47" s="115"/>
      <c r="AJ47" s="115"/>
      <c r="AK47" s="115"/>
      <c r="AL47" s="115"/>
    </row>
    <row r="48" spans="1:38" ht="30" x14ac:dyDescent="0.25">
      <c r="A48" s="113">
        <v>44</v>
      </c>
      <c r="B48" s="53" t="s">
        <v>513</v>
      </c>
      <c r="C48" s="60" t="s">
        <v>514</v>
      </c>
      <c r="D48" s="54"/>
      <c r="E48" s="54"/>
      <c r="F48" s="54">
        <v>10</v>
      </c>
      <c r="G48" s="54"/>
      <c r="H48" s="54"/>
      <c r="I48" s="54"/>
      <c r="J48" s="54">
        <v>60.8</v>
      </c>
      <c r="K48" s="54">
        <v>58.5</v>
      </c>
      <c r="L48" s="54">
        <v>38.200000000000003</v>
      </c>
      <c r="M48" s="54">
        <v>2015</v>
      </c>
      <c r="N48" s="55">
        <f t="shared" si="20"/>
        <v>1927360</v>
      </c>
      <c r="O48" s="109">
        <v>1699330.98</v>
      </c>
      <c r="P48" s="56">
        <f t="shared" si="0"/>
        <v>228029.02000000002</v>
      </c>
      <c r="Q48" s="57">
        <f t="shared" si="1"/>
        <v>0.11831158683380376</v>
      </c>
      <c r="R48" s="101">
        <f t="shared" si="2"/>
        <v>31700</v>
      </c>
      <c r="S48" s="99">
        <f t="shared" si="3"/>
        <v>27949.522697368422</v>
      </c>
      <c r="T48" s="99" t="e">
        <f>T47</f>
        <v>#REF!</v>
      </c>
      <c r="U48" s="99">
        <v>26000</v>
      </c>
      <c r="V48" s="106">
        <f t="shared" si="4"/>
        <v>1580800</v>
      </c>
      <c r="W48" s="100">
        <f t="shared" si="15"/>
        <v>6.9751555991758585E-2</v>
      </c>
      <c r="X48" s="102">
        <f t="shared" si="16"/>
        <v>-118530.97999999998</v>
      </c>
      <c r="Y48" s="123">
        <v>1945600</v>
      </c>
      <c r="Z48" s="123" t="e">
        <f t="shared" si="21"/>
        <v>#REF!</v>
      </c>
      <c r="AA48" s="123" t="e">
        <f t="shared" si="17"/>
        <v>#REF!</v>
      </c>
      <c r="AB48" s="123">
        <v>1763200</v>
      </c>
      <c r="AC48" s="123">
        <f t="shared" si="19"/>
        <v>29000</v>
      </c>
      <c r="AD48" s="128">
        <f t="shared" si="14"/>
        <v>1580800</v>
      </c>
      <c r="AE48" s="123">
        <v>26000</v>
      </c>
      <c r="AF48" s="123">
        <f t="shared" si="18"/>
        <v>-118530.97999999998</v>
      </c>
      <c r="AG48" s="115"/>
      <c r="AH48" s="115"/>
      <c r="AI48" s="115"/>
      <c r="AJ48" s="115"/>
      <c r="AK48" s="115"/>
      <c r="AL48" s="115"/>
    </row>
    <row r="49" spans="1:38" ht="30" x14ac:dyDescent="0.25">
      <c r="A49" s="113">
        <v>45</v>
      </c>
      <c r="B49" s="53" t="s">
        <v>513</v>
      </c>
      <c r="C49" s="60" t="s">
        <v>514</v>
      </c>
      <c r="D49" s="54">
        <v>13</v>
      </c>
      <c r="E49" s="54">
        <v>13</v>
      </c>
      <c r="F49" s="54">
        <v>13</v>
      </c>
      <c r="G49" s="54" t="s">
        <v>487</v>
      </c>
      <c r="H49" s="54">
        <v>5</v>
      </c>
      <c r="I49" s="54">
        <v>3</v>
      </c>
      <c r="J49" s="54">
        <v>60.2</v>
      </c>
      <c r="K49" s="54">
        <v>57.9</v>
      </c>
      <c r="L49" s="54">
        <v>38</v>
      </c>
      <c r="M49" s="54">
        <v>2015</v>
      </c>
      <c r="N49" s="55">
        <f t="shared" si="20"/>
        <v>1908340</v>
      </c>
      <c r="O49" s="109">
        <v>1699330.98</v>
      </c>
      <c r="P49" s="56">
        <f t="shared" si="0"/>
        <v>209009.02000000002</v>
      </c>
      <c r="Q49" s="57">
        <f t="shared" si="1"/>
        <v>0.10952399467600114</v>
      </c>
      <c r="R49" s="101">
        <f t="shared" si="2"/>
        <v>31700</v>
      </c>
      <c r="S49" s="99">
        <f t="shared" si="3"/>
        <v>28228.089368770761</v>
      </c>
      <c r="T49" s="99" t="e">
        <f>T48</f>
        <v>#REF!</v>
      </c>
      <c r="U49" s="99">
        <v>26000</v>
      </c>
      <c r="V49" s="106">
        <f t="shared" si="4"/>
        <v>1565200</v>
      </c>
      <c r="W49" s="100">
        <f t="shared" si="15"/>
        <v>7.8931639320787284E-2</v>
      </c>
      <c r="X49" s="102">
        <f t="shared" si="16"/>
        <v>-134130.97999999998</v>
      </c>
      <c r="Y49" s="123">
        <v>1926400</v>
      </c>
      <c r="Z49" s="123" t="e">
        <f t="shared" si="21"/>
        <v>#REF!</v>
      </c>
      <c r="AA49" s="123" t="e">
        <f t="shared" si="17"/>
        <v>#REF!</v>
      </c>
      <c r="AB49" s="123">
        <v>1745800</v>
      </c>
      <c r="AC49" s="123">
        <f t="shared" si="19"/>
        <v>29000</v>
      </c>
      <c r="AD49" s="128">
        <f t="shared" si="14"/>
        <v>1565200</v>
      </c>
      <c r="AE49" s="123">
        <v>26000</v>
      </c>
      <c r="AF49" s="123">
        <f t="shared" si="18"/>
        <v>-134130.97999999998</v>
      </c>
      <c r="AG49" s="115"/>
      <c r="AH49" s="115"/>
      <c r="AI49" s="115"/>
      <c r="AJ49" s="115"/>
      <c r="AK49" s="115"/>
      <c r="AL49" s="115"/>
    </row>
    <row r="50" spans="1:38" ht="30" x14ac:dyDescent="0.25">
      <c r="A50" s="113">
        <v>46</v>
      </c>
      <c r="B50" s="53" t="s">
        <v>513</v>
      </c>
      <c r="C50" s="60" t="s">
        <v>514</v>
      </c>
      <c r="D50" s="54">
        <v>15</v>
      </c>
      <c r="E50" s="54">
        <v>15</v>
      </c>
      <c r="F50" s="54">
        <v>15</v>
      </c>
      <c r="G50" s="54" t="s">
        <v>487</v>
      </c>
      <c r="H50" s="54">
        <v>5</v>
      </c>
      <c r="I50" s="54">
        <v>2</v>
      </c>
      <c r="J50" s="54">
        <v>48.3</v>
      </c>
      <c r="K50" s="54">
        <v>47</v>
      </c>
      <c r="L50" s="54">
        <v>26.4</v>
      </c>
      <c r="M50" s="54">
        <v>2015</v>
      </c>
      <c r="N50" s="55">
        <f t="shared" si="20"/>
        <v>1531110</v>
      </c>
      <c r="O50" s="109">
        <v>1346045.34</v>
      </c>
      <c r="P50" s="56">
        <f t="shared" si="0"/>
        <v>185064.65999999992</v>
      </c>
      <c r="Q50" s="57">
        <f t="shared" si="1"/>
        <v>0.12086960440464756</v>
      </c>
      <c r="R50" s="101">
        <f t="shared" si="2"/>
        <v>31700.000000000004</v>
      </c>
      <c r="S50" s="99">
        <f t="shared" si="3"/>
        <v>27868.433540372673</v>
      </c>
      <c r="T50" s="99" t="e">
        <f>T49</f>
        <v>#REF!</v>
      </c>
      <c r="U50" s="99">
        <v>26000</v>
      </c>
      <c r="V50" s="106">
        <f t="shared" si="4"/>
        <v>1255800</v>
      </c>
      <c r="W50" s="100">
        <f t="shared" si="15"/>
        <v>6.7044799545905392E-2</v>
      </c>
      <c r="X50" s="102">
        <f t="shared" si="16"/>
        <v>-90245.340000000084</v>
      </c>
      <c r="Y50" s="123">
        <v>1545600</v>
      </c>
      <c r="Z50" s="123" t="e">
        <f t="shared" si="21"/>
        <v>#REF!</v>
      </c>
      <c r="AA50" s="123" t="e">
        <f t="shared" si="17"/>
        <v>#REF!</v>
      </c>
      <c r="AB50" s="123">
        <v>1400700</v>
      </c>
      <c r="AC50" s="123">
        <f t="shared" si="19"/>
        <v>29000</v>
      </c>
      <c r="AD50" s="128">
        <f t="shared" si="14"/>
        <v>1255800</v>
      </c>
      <c r="AE50" s="123">
        <v>26000</v>
      </c>
      <c r="AF50" s="123">
        <f t="shared" si="18"/>
        <v>-90245.340000000084</v>
      </c>
      <c r="AG50" s="115"/>
      <c r="AH50" s="115"/>
      <c r="AI50" s="115"/>
      <c r="AJ50" s="115"/>
      <c r="AK50" s="115"/>
      <c r="AL50" s="115"/>
    </row>
    <row r="51" spans="1:38" ht="30" x14ac:dyDescent="0.25">
      <c r="A51" s="113">
        <v>47</v>
      </c>
      <c r="B51" s="53" t="s">
        <v>513</v>
      </c>
      <c r="C51" s="60" t="s">
        <v>514</v>
      </c>
      <c r="D51" s="54">
        <v>16</v>
      </c>
      <c r="E51" s="54">
        <v>16</v>
      </c>
      <c r="F51" s="54">
        <v>16</v>
      </c>
      <c r="G51" s="54" t="s">
        <v>487</v>
      </c>
      <c r="H51" s="54">
        <v>1</v>
      </c>
      <c r="I51" s="54">
        <v>2</v>
      </c>
      <c r="J51" s="54">
        <v>47.2</v>
      </c>
      <c r="K51" s="54">
        <v>45.9</v>
      </c>
      <c r="L51" s="54">
        <v>25.2</v>
      </c>
      <c r="M51" s="54">
        <v>2015</v>
      </c>
      <c r="N51" s="55">
        <f t="shared" si="20"/>
        <v>1496240</v>
      </c>
      <c r="O51" s="109">
        <v>1346045.34</v>
      </c>
      <c r="P51" s="56">
        <f t="shared" si="0"/>
        <v>150194.65999999992</v>
      </c>
      <c r="Q51" s="57">
        <f t="shared" si="1"/>
        <v>0.10038139603272196</v>
      </c>
      <c r="R51" s="101">
        <f t="shared" si="2"/>
        <v>31699.999999999996</v>
      </c>
      <c r="S51" s="99">
        <f t="shared" si="3"/>
        <v>28517.90974576271</v>
      </c>
      <c r="T51" s="99" t="e">
        <f>T50</f>
        <v>#REF!</v>
      </c>
      <c r="U51" s="99">
        <v>26000</v>
      </c>
      <c r="V51" s="106">
        <f t="shared" si="4"/>
        <v>1227200</v>
      </c>
      <c r="W51" s="100">
        <f t="shared" si="15"/>
        <v>8.8292226471360966E-2</v>
      </c>
      <c r="X51" s="102">
        <f t="shared" si="16"/>
        <v>-118845.34000000008</v>
      </c>
      <c r="Y51" s="123">
        <v>1510400</v>
      </c>
      <c r="Z51" s="123" t="e">
        <f t="shared" si="21"/>
        <v>#REF!</v>
      </c>
      <c r="AA51" s="123" t="e">
        <f t="shared" si="17"/>
        <v>#REF!</v>
      </c>
      <c r="AB51" s="123">
        <v>1368800</v>
      </c>
      <c r="AC51" s="123">
        <f t="shared" si="19"/>
        <v>29000</v>
      </c>
      <c r="AD51" s="128">
        <f t="shared" si="14"/>
        <v>1227200</v>
      </c>
      <c r="AE51" s="123">
        <v>26000</v>
      </c>
      <c r="AF51" s="123">
        <f t="shared" si="18"/>
        <v>-118845.34000000008</v>
      </c>
      <c r="AG51" s="115"/>
      <c r="AH51" s="115"/>
      <c r="AI51" s="115"/>
      <c r="AJ51" s="115"/>
      <c r="AK51" s="115"/>
      <c r="AL51" s="115"/>
    </row>
    <row r="52" spans="1:38" ht="30" x14ac:dyDescent="0.25">
      <c r="A52" s="113">
        <v>48</v>
      </c>
      <c r="B52" s="53" t="s">
        <v>513</v>
      </c>
      <c r="C52" s="60" t="s">
        <v>514</v>
      </c>
      <c r="D52" s="54">
        <v>32</v>
      </c>
      <c r="E52" s="54">
        <v>32</v>
      </c>
      <c r="F52" s="54">
        <v>32</v>
      </c>
      <c r="G52" s="54" t="s">
        <v>487</v>
      </c>
      <c r="H52" s="54">
        <v>5</v>
      </c>
      <c r="I52" s="54">
        <v>2</v>
      </c>
      <c r="J52" s="54">
        <v>47.1</v>
      </c>
      <c r="K52" s="54">
        <v>45.8</v>
      </c>
      <c r="L52" s="54">
        <v>25.4</v>
      </c>
      <c r="M52" s="54">
        <v>2015</v>
      </c>
      <c r="N52" s="55">
        <f t="shared" si="20"/>
        <v>1493070</v>
      </c>
      <c r="O52" s="109">
        <v>1346045.33</v>
      </c>
      <c r="P52" s="56">
        <f t="shared" si="0"/>
        <v>147024.66999999993</v>
      </c>
      <c r="Q52" s="57">
        <f t="shared" si="1"/>
        <v>9.8471384462885142E-2</v>
      </c>
      <c r="R52" s="101">
        <f t="shared" si="2"/>
        <v>31700</v>
      </c>
      <c r="S52" s="99">
        <f t="shared" si="3"/>
        <v>28578.457112526539</v>
      </c>
      <c r="T52" s="99" t="e">
        <f>#REF!</f>
        <v>#REF!</v>
      </c>
      <c r="U52" s="99">
        <v>26000</v>
      </c>
      <c r="V52" s="106">
        <f t="shared" si="4"/>
        <v>1224600</v>
      </c>
      <c r="W52" s="100">
        <f t="shared" si="15"/>
        <v>9.0223803978429218E-2</v>
      </c>
      <c r="X52" s="102">
        <f t="shared" si="16"/>
        <v>-121445.33000000007</v>
      </c>
      <c r="Y52" s="123">
        <v>1507200</v>
      </c>
      <c r="Z52" s="123" t="e">
        <f t="shared" si="21"/>
        <v>#REF!</v>
      </c>
      <c r="AA52" s="123" t="e">
        <f t="shared" si="17"/>
        <v>#REF!</v>
      </c>
      <c r="AB52" s="123">
        <v>1365900</v>
      </c>
      <c r="AC52" s="123">
        <f t="shared" si="19"/>
        <v>29000</v>
      </c>
      <c r="AD52" s="128">
        <f t="shared" si="14"/>
        <v>1224600</v>
      </c>
      <c r="AE52" s="123">
        <v>26000</v>
      </c>
      <c r="AF52" s="123">
        <f t="shared" si="18"/>
        <v>-121445.33000000007</v>
      </c>
      <c r="AG52" s="115"/>
      <c r="AH52" s="115"/>
      <c r="AI52" s="115"/>
      <c r="AJ52" s="115"/>
      <c r="AK52" s="115"/>
      <c r="AL52" s="115"/>
    </row>
    <row r="53" spans="1:38" ht="30" x14ac:dyDescent="0.25">
      <c r="A53" s="113">
        <v>49</v>
      </c>
      <c r="B53" s="53" t="s">
        <v>516</v>
      </c>
      <c r="C53" s="60" t="s">
        <v>517</v>
      </c>
      <c r="D53" s="54">
        <v>3</v>
      </c>
      <c r="E53" s="54">
        <v>3</v>
      </c>
      <c r="F53" s="54">
        <v>3</v>
      </c>
      <c r="G53" s="54" t="s">
        <v>487</v>
      </c>
      <c r="H53" s="54">
        <v>1</v>
      </c>
      <c r="I53" s="54">
        <v>2</v>
      </c>
      <c r="J53" s="54">
        <v>48.3</v>
      </c>
      <c r="K53" s="54">
        <v>46.9</v>
      </c>
      <c r="L53" s="54">
        <v>24.8</v>
      </c>
      <c r="M53" s="54">
        <v>2015</v>
      </c>
      <c r="N53" s="58">
        <f t="shared" ref="N53:N59" si="22">J53*27500</f>
        <v>1328250</v>
      </c>
      <c r="O53" s="108">
        <v>1275147.1599999999</v>
      </c>
      <c r="P53" s="56">
        <f t="shared" si="0"/>
        <v>53102.840000000084</v>
      </c>
      <c r="Q53" s="57">
        <f t="shared" si="1"/>
        <v>3.9979552042160804E-2</v>
      </c>
      <c r="R53" s="101">
        <f t="shared" si="2"/>
        <v>27500</v>
      </c>
      <c r="S53" s="99">
        <f t="shared" si="3"/>
        <v>26400.562318840581</v>
      </c>
      <c r="T53" s="99"/>
      <c r="U53" s="99">
        <v>0</v>
      </c>
      <c r="V53" s="106">
        <f t="shared" si="4"/>
        <v>0</v>
      </c>
      <c r="W53" s="100">
        <f t="shared" si="15"/>
        <v>0</v>
      </c>
      <c r="X53" s="102">
        <f t="shared" si="16"/>
        <v>0</v>
      </c>
      <c r="Y53" s="123">
        <v>1376550</v>
      </c>
      <c r="Z53" s="123"/>
      <c r="AA53" s="123">
        <f t="shared" si="17"/>
        <v>0</v>
      </c>
      <c r="AB53" s="123">
        <v>999998</v>
      </c>
      <c r="AC53" s="123">
        <f t="shared" si="19"/>
        <v>20703.892339544516</v>
      </c>
      <c r="AD53" s="128"/>
      <c r="AE53" s="123"/>
      <c r="AF53" s="123">
        <f t="shared" si="18"/>
        <v>-1275147.1599999999</v>
      </c>
      <c r="AG53" s="115"/>
      <c r="AH53" s="115"/>
      <c r="AI53" s="115"/>
      <c r="AJ53" s="115"/>
      <c r="AK53" s="115"/>
      <c r="AL53" s="115"/>
    </row>
    <row r="54" spans="1:38" ht="30" x14ac:dyDescent="0.25">
      <c r="A54" s="113">
        <v>50</v>
      </c>
      <c r="B54" s="53" t="s">
        <v>516</v>
      </c>
      <c r="C54" s="60" t="s">
        <v>517</v>
      </c>
      <c r="D54" s="54">
        <v>10</v>
      </c>
      <c r="E54" s="54">
        <v>10</v>
      </c>
      <c r="F54" s="54">
        <v>10</v>
      </c>
      <c r="G54" s="54" t="s">
        <v>487</v>
      </c>
      <c r="H54" s="54">
        <v>3</v>
      </c>
      <c r="I54" s="54">
        <v>2</v>
      </c>
      <c r="J54" s="54">
        <v>48.1</v>
      </c>
      <c r="K54" s="54">
        <v>46.6</v>
      </c>
      <c r="L54" s="54">
        <v>24.8</v>
      </c>
      <c r="M54" s="54">
        <v>2015</v>
      </c>
      <c r="N54" s="58">
        <f t="shared" si="22"/>
        <v>1322750</v>
      </c>
      <c r="O54" s="108">
        <v>1273320.03</v>
      </c>
      <c r="P54" s="56">
        <f t="shared" si="0"/>
        <v>49429.969999999972</v>
      </c>
      <c r="Q54" s="57">
        <f t="shared" si="1"/>
        <v>3.7369094689094669E-2</v>
      </c>
      <c r="R54" s="101">
        <f t="shared" si="2"/>
        <v>27500</v>
      </c>
      <c r="S54" s="99">
        <f t="shared" si="3"/>
        <v>26472.349896049895</v>
      </c>
      <c r="T54" s="99"/>
      <c r="U54" s="99">
        <v>0</v>
      </c>
      <c r="V54" s="106">
        <f t="shared" si="4"/>
        <v>0</v>
      </c>
      <c r="W54" s="100">
        <f t="shared" si="15"/>
        <v>0</v>
      </c>
      <c r="X54" s="102">
        <f t="shared" si="16"/>
        <v>0</v>
      </c>
      <c r="Y54" s="123">
        <v>1370850</v>
      </c>
      <c r="Z54" s="123"/>
      <c r="AA54" s="123">
        <f t="shared" si="17"/>
        <v>0</v>
      </c>
      <c r="AB54" s="123">
        <v>1000000</v>
      </c>
      <c r="AC54" s="123">
        <f t="shared" si="19"/>
        <v>20790.02079002079</v>
      </c>
      <c r="AD54" s="128">
        <f t="shared" ref="AD54:AD95" si="23">AE54*J54</f>
        <v>962000</v>
      </c>
      <c r="AE54" s="123">
        <v>20000</v>
      </c>
      <c r="AF54" s="123">
        <f t="shared" si="18"/>
        <v>-311320.03000000003</v>
      </c>
      <c r="AG54" s="115"/>
      <c r="AH54" s="115"/>
      <c r="AI54" s="115"/>
      <c r="AJ54" s="115"/>
      <c r="AK54" s="115"/>
      <c r="AL54" s="115"/>
    </row>
    <row r="55" spans="1:38" ht="30" x14ac:dyDescent="0.25">
      <c r="A55" s="113">
        <v>51</v>
      </c>
      <c r="B55" s="53" t="s">
        <v>516</v>
      </c>
      <c r="C55" s="60" t="s">
        <v>517</v>
      </c>
      <c r="D55" s="54">
        <v>11</v>
      </c>
      <c r="E55" s="54">
        <v>11</v>
      </c>
      <c r="F55" s="54">
        <v>11</v>
      </c>
      <c r="G55" s="54" t="s">
        <v>487</v>
      </c>
      <c r="H55" s="54">
        <v>3</v>
      </c>
      <c r="I55" s="54">
        <v>2</v>
      </c>
      <c r="J55" s="54">
        <v>47.7</v>
      </c>
      <c r="K55" s="54">
        <v>46.3</v>
      </c>
      <c r="L55" s="54">
        <v>24.6</v>
      </c>
      <c r="M55" s="54">
        <v>2015</v>
      </c>
      <c r="N55" s="58">
        <f t="shared" si="22"/>
        <v>1311750</v>
      </c>
      <c r="O55" s="108">
        <v>1275147.1599999999</v>
      </c>
      <c r="P55" s="56">
        <f t="shared" si="0"/>
        <v>36602.840000000084</v>
      </c>
      <c r="Q55" s="57">
        <f t="shared" si="1"/>
        <v>2.7903823137030749E-2</v>
      </c>
      <c r="R55" s="101">
        <f t="shared" si="2"/>
        <v>27500</v>
      </c>
      <c r="S55" s="99">
        <f t="shared" si="3"/>
        <v>26732.644863731653</v>
      </c>
      <c r="T55" s="99"/>
      <c r="U55" s="99">
        <v>0</v>
      </c>
      <c r="V55" s="106">
        <f t="shared" si="4"/>
        <v>0</v>
      </c>
      <c r="W55" s="100">
        <f t="shared" si="15"/>
        <v>0</v>
      </c>
      <c r="X55" s="102">
        <f t="shared" si="16"/>
        <v>0</v>
      </c>
      <c r="Y55" s="123">
        <v>1359450</v>
      </c>
      <c r="Z55" s="123"/>
      <c r="AA55" s="123">
        <f t="shared" si="17"/>
        <v>0</v>
      </c>
      <c r="AB55" s="123">
        <v>1000000</v>
      </c>
      <c r="AC55" s="123">
        <f t="shared" si="19"/>
        <v>20964.360587002095</v>
      </c>
      <c r="AD55" s="128">
        <f t="shared" si="23"/>
        <v>954000</v>
      </c>
      <c r="AE55" s="123">
        <v>20000</v>
      </c>
      <c r="AF55" s="123">
        <f t="shared" si="18"/>
        <v>-321147.15999999992</v>
      </c>
      <c r="AG55" s="115"/>
      <c r="AH55" s="115"/>
      <c r="AI55" s="115"/>
      <c r="AJ55" s="115"/>
      <c r="AK55" s="115"/>
      <c r="AL55" s="115"/>
    </row>
    <row r="56" spans="1:38" ht="30" x14ac:dyDescent="0.25">
      <c r="A56" s="113">
        <v>52</v>
      </c>
      <c r="B56" s="53" t="s">
        <v>516</v>
      </c>
      <c r="C56" s="60" t="s">
        <v>517</v>
      </c>
      <c r="D56" s="54">
        <v>14</v>
      </c>
      <c r="E56" s="54">
        <v>14</v>
      </c>
      <c r="F56" s="54">
        <v>14</v>
      </c>
      <c r="G56" s="54" t="s">
        <v>487</v>
      </c>
      <c r="H56" s="54">
        <v>1</v>
      </c>
      <c r="I56" s="54">
        <v>2</v>
      </c>
      <c r="J56" s="54">
        <v>47.8</v>
      </c>
      <c r="K56" s="54">
        <v>46.4</v>
      </c>
      <c r="L56" s="54">
        <v>24.5</v>
      </c>
      <c r="M56" s="54">
        <v>2015</v>
      </c>
      <c r="N56" s="58">
        <f t="shared" si="22"/>
        <v>1314500</v>
      </c>
      <c r="O56" s="108">
        <v>1275147.1599999999</v>
      </c>
      <c r="P56" s="56">
        <f t="shared" ref="P56:P103" si="24">N56-O56</f>
        <v>39352.840000000084</v>
      </c>
      <c r="Q56" s="57">
        <f t="shared" ref="Q56:Q103" si="25">IF(P56&gt;0,P56/N56,0)</f>
        <v>2.9937497147204326E-2</v>
      </c>
      <c r="R56" s="101">
        <f t="shared" si="2"/>
        <v>27500</v>
      </c>
      <c r="S56" s="99">
        <f t="shared" si="3"/>
        <v>26676.718828451882</v>
      </c>
      <c r="T56" s="99"/>
      <c r="U56" s="99">
        <v>0</v>
      </c>
      <c r="V56" s="106">
        <f t="shared" si="4"/>
        <v>0</v>
      </c>
      <c r="W56" s="100">
        <f t="shared" si="15"/>
        <v>0</v>
      </c>
      <c r="X56" s="102">
        <f t="shared" si="16"/>
        <v>0</v>
      </c>
      <c r="Y56" s="123">
        <v>1362300</v>
      </c>
      <c r="Z56" s="123"/>
      <c r="AA56" s="123">
        <f t="shared" si="17"/>
        <v>0</v>
      </c>
      <c r="AB56" s="123">
        <v>1000000</v>
      </c>
      <c r="AC56" s="123">
        <f t="shared" si="19"/>
        <v>20920.50209205021</v>
      </c>
      <c r="AD56" s="128">
        <f t="shared" si="23"/>
        <v>956000</v>
      </c>
      <c r="AE56" s="123">
        <v>20000</v>
      </c>
      <c r="AF56" s="123">
        <f t="shared" si="18"/>
        <v>-319147.15999999992</v>
      </c>
      <c r="AG56" s="115"/>
      <c r="AH56" s="115"/>
      <c r="AI56" s="115"/>
      <c r="AJ56" s="115"/>
      <c r="AK56" s="115"/>
      <c r="AL56" s="115"/>
    </row>
    <row r="57" spans="1:38" ht="30" x14ac:dyDescent="0.25">
      <c r="A57" s="113">
        <v>53</v>
      </c>
      <c r="B57" s="53" t="s">
        <v>516</v>
      </c>
      <c r="C57" s="60" t="s">
        <v>517</v>
      </c>
      <c r="D57" s="54">
        <v>19</v>
      </c>
      <c r="E57" s="54">
        <v>19</v>
      </c>
      <c r="F57" s="54">
        <v>19</v>
      </c>
      <c r="G57" s="54" t="s">
        <v>487</v>
      </c>
      <c r="H57" s="54">
        <v>2</v>
      </c>
      <c r="I57" s="54">
        <v>2</v>
      </c>
      <c r="J57" s="54">
        <v>48.1</v>
      </c>
      <c r="K57" s="54">
        <v>46.6</v>
      </c>
      <c r="L57" s="54">
        <v>24.5</v>
      </c>
      <c r="M57" s="54">
        <v>2015</v>
      </c>
      <c r="N57" s="58">
        <f t="shared" si="22"/>
        <v>1322750</v>
      </c>
      <c r="O57" s="108">
        <v>1273320.03</v>
      </c>
      <c r="P57" s="56">
        <f t="shared" si="24"/>
        <v>49429.969999999972</v>
      </c>
      <c r="Q57" s="57">
        <f t="shared" si="25"/>
        <v>3.7369094689094669E-2</v>
      </c>
      <c r="R57" s="101">
        <f t="shared" ref="R57:R104" si="26">N57/J57</f>
        <v>27500</v>
      </c>
      <c r="S57" s="99">
        <f t="shared" ref="S57:S104" si="27">IF(P57&gt;0,(N57-P57)/J57,R57)</f>
        <v>26472.349896049895</v>
      </c>
      <c r="T57" s="99"/>
      <c r="U57" s="99">
        <v>0</v>
      </c>
      <c r="V57" s="106">
        <f t="shared" ref="V57:V104" si="28">J57*U57</f>
        <v>0</v>
      </c>
      <c r="W57" s="100">
        <f t="shared" si="15"/>
        <v>0</v>
      </c>
      <c r="X57" s="102">
        <f t="shared" si="16"/>
        <v>0</v>
      </c>
      <c r="Y57" s="123">
        <v>1370850</v>
      </c>
      <c r="Z57" s="123"/>
      <c r="AA57" s="123">
        <f t="shared" si="17"/>
        <v>0</v>
      </c>
      <c r="AB57" s="123">
        <v>1000000</v>
      </c>
      <c r="AC57" s="123">
        <f t="shared" si="19"/>
        <v>20790.02079002079</v>
      </c>
      <c r="AD57" s="128">
        <f t="shared" si="23"/>
        <v>962000</v>
      </c>
      <c r="AE57" s="123">
        <v>20000</v>
      </c>
      <c r="AF57" s="123">
        <f t="shared" si="18"/>
        <v>-311320.03000000003</v>
      </c>
      <c r="AG57" s="115"/>
      <c r="AH57" s="115"/>
      <c r="AI57" s="115"/>
      <c r="AJ57" s="115"/>
      <c r="AK57" s="115"/>
      <c r="AL57" s="115"/>
    </row>
    <row r="58" spans="1:38" ht="30" x14ac:dyDescent="0.25">
      <c r="A58" s="113">
        <v>54</v>
      </c>
      <c r="B58" s="53" t="s">
        <v>516</v>
      </c>
      <c r="C58" s="60" t="s">
        <v>517</v>
      </c>
      <c r="D58" s="54">
        <v>24</v>
      </c>
      <c r="E58" s="54">
        <v>24</v>
      </c>
      <c r="F58" s="54">
        <v>24</v>
      </c>
      <c r="G58" s="54"/>
      <c r="H58" s="54">
        <v>3</v>
      </c>
      <c r="I58" s="54">
        <v>2</v>
      </c>
      <c r="J58" s="54">
        <v>47.9</v>
      </c>
      <c r="K58" s="54">
        <v>46.1</v>
      </c>
      <c r="L58" s="54">
        <v>25.8</v>
      </c>
      <c r="M58" s="54">
        <v>2015</v>
      </c>
      <c r="N58" s="58">
        <f t="shared" si="22"/>
        <v>1317250</v>
      </c>
      <c r="O58" s="108">
        <v>1264445.42</v>
      </c>
      <c r="P58" s="56">
        <f t="shared" si="24"/>
        <v>52804.580000000075</v>
      </c>
      <c r="Q58" s="57">
        <f t="shared" si="25"/>
        <v>4.0086984247485351E-2</v>
      </c>
      <c r="R58" s="101">
        <f t="shared" si="26"/>
        <v>27500</v>
      </c>
      <c r="S58" s="99">
        <f t="shared" si="27"/>
        <v>26397.607933194155</v>
      </c>
      <c r="T58" s="99"/>
      <c r="U58" s="99">
        <v>0</v>
      </c>
      <c r="V58" s="106">
        <f t="shared" si="28"/>
        <v>0</v>
      </c>
      <c r="W58" s="100">
        <f t="shared" si="15"/>
        <v>0</v>
      </c>
      <c r="X58" s="102">
        <f t="shared" si="16"/>
        <v>0</v>
      </c>
      <c r="Y58" s="123">
        <v>1365150</v>
      </c>
      <c r="Z58" s="123"/>
      <c r="AA58" s="123">
        <f t="shared" si="17"/>
        <v>0</v>
      </c>
      <c r="AB58" s="123">
        <v>1000000</v>
      </c>
      <c r="AC58" s="123">
        <f t="shared" si="19"/>
        <v>20876.826722338206</v>
      </c>
      <c r="AD58" s="128">
        <f t="shared" si="23"/>
        <v>958000</v>
      </c>
      <c r="AE58" s="123">
        <v>20000</v>
      </c>
      <c r="AF58" s="123">
        <f t="shared" si="18"/>
        <v>-306445.41999999993</v>
      </c>
      <c r="AG58" s="115"/>
      <c r="AH58" s="115"/>
      <c r="AI58" s="115"/>
      <c r="AJ58" s="115"/>
      <c r="AK58" s="115"/>
      <c r="AL58" s="115"/>
    </row>
    <row r="59" spans="1:38" ht="30" x14ac:dyDescent="0.25">
      <c r="A59" s="113">
        <v>55</v>
      </c>
      <c r="B59" s="53" t="s">
        <v>516</v>
      </c>
      <c r="C59" s="60" t="s">
        <v>517</v>
      </c>
      <c r="D59" s="54">
        <v>23</v>
      </c>
      <c r="E59" s="54">
        <v>23</v>
      </c>
      <c r="F59" s="54">
        <v>23</v>
      </c>
      <c r="G59" s="54" t="s">
        <v>487</v>
      </c>
      <c r="H59" s="54">
        <v>3</v>
      </c>
      <c r="I59" s="54">
        <v>2</v>
      </c>
      <c r="J59" s="54">
        <v>48.2</v>
      </c>
      <c r="K59" s="54">
        <v>46.7</v>
      </c>
      <c r="L59" s="54">
        <v>24.6</v>
      </c>
      <c r="M59" s="54">
        <v>2015</v>
      </c>
      <c r="N59" s="58">
        <f t="shared" si="22"/>
        <v>1325500</v>
      </c>
      <c r="O59" s="108">
        <v>1269633.6100000001</v>
      </c>
      <c r="P59" s="56">
        <f t="shared" si="24"/>
        <v>55866.389999999898</v>
      </c>
      <c r="Q59" s="57">
        <f t="shared" si="25"/>
        <v>4.2147408525084799E-2</v>
      </c>
      <c r="R59" s="101">
        <f t="shared" si="26"/>
        <v>27500</v>
      </c>
      <c r="S59" s="99">
        <f t="shared" si="27"/>
        <v>26340.946265560167</v>
      </c>
      <c r="T59" s="99"/>
      <c r="U59" s="99">
        <v>0</v>
      </c>
      <c r="V59" s="106">
        <f t="shared" si="28"/>
        <v>0</v>
      </c>
      <c r="W59" s="100">
        <f t="shared" si="15"/>
        <v>0</v>
      </c>
      <c r="X59" s="102">
        <f t="shared" si="16"/>
        <v>0</v>
      </c>
      <c r="Y59" s="123">
        <v>1373700</v>
      </c>
      <c r="Z59" s="123"/>
      <c r="AA59" s="123">
        <f t="shared" si="17"/>
        <v>0</v>
      </c>
      <c r="AB59" s="123">
        <v>1000000</v>
      </c>
      <c r="AC59" s="123">
        <f t="shared" si="19"/>
        <v>20746.887966804978</v>
      </c>
      <c r="AD59" s="128">
        <f t="shared" si="23"/>
        <v>964000</v>
      </c>
      <c r="AE59" s="123">
        <v>20000</v>
      </c>
      <c r="AF59" s="123">
        <f t="shared" si="18"/>
        <v>-305633.6100000001</v>
      </c>
      <c r="AG59" s="115"/>
      <c r="AH59" s="115"/>
      <c r="AI59" s="115"/>
      <c r="AJ59" s="115"/>
      <c r="AK59" s="115"/>
      <c r="AL59" s="115"/>
    </row>
    <row r="60" spans="1:38" x14ac:dyDescent="0.25">
      <c r="A60" s="113">
        <v>56</v>
      </c>
      <c r="B60" s="53" t="s">
        <v>518</v>
      </c>
      <c r="C60" s="60" t="s">
        <v>519</v>
      </c>
      <c r="D60" s="54">
        <v>4</v>
      </c>
      <c r="E60" s="54">
        <v>4</v>
      </c>
      <c r="F60" s="54">
        <v>4</v>
      </c>
      <c r="G60" s="54" t="s">
        <v>487</v>
      </c>
      <c r="H60" s="54">
        <v>1</v>
      </c>
      <c r="I60" s="54">
        <v>2</v>
      </c>
      <c r="J60" s="54">
        <v>47.6</v>
      </c>
      <c r="K60" s="54">
        <v>46.1</v>
      </c>
      <c r="L60" s="54">
        <v>25.2</v>
      </c>
      <c r="M60" s="54">
        <v>2015</v>
      </c>
      <c r="N60" s="55">
        <f>J60*31000</f>
        <v>1475600</v>
      </c>
      <c r="O60" s="108">
        <v>1299717.3</v>
      </c>
      <c r="P60" s="56">
        <f t="shared" si="24"/>
        <v>175882.69999999995</v>
      </c>
      <c r="Q60" s="57">
        <f t="shared" si="25"/>
        <v>0.11919402277039845</v>
      </c>
      <c r="R60" s="101">
        <f t="shared" si="26"/>
        <v>31000</v>
      </c>
      <c r="S60" s="99">
        <f t="shared" si="27"/>
        <v>27304.985294117647</v>
      </c>
      <c r="T60" s="99" t="e">
        <f>#REF!</f>
        <v>#REF!</v>
      </c>
      <c r="U60" s="99">
        <v>21000</v>
      </c>
      <c r="V60" s="106">
        <f t="shared" si="28"/>
        <v>999600</v>
      </c>
      <c r="W60" s="100">
        <f t="shared" si="15"/>
        <v>0.23090967551174402</v>
      </c>
      <c r="X60" s="102">
        <f t="shared" si="16"/>
        <v>-300117.30000000005</v>
      </c>
      <c r="Y60" s="123">
        <v>1484358.4000000001</v>
      </c>
      <c r="Z60" s="123">
        <v>1069659.5238160922</v>
      </c>
      <c r="AA60" s="123">
        <f t="shared" si="17"/>
        <v>22471.838735632187</v>
      </c>
      <c r="AB60" s="123">
        <v>1050000</v>
      </c>
      <c r="AC60" s="123">
        <f t="shared" si="19"/>
        <v>22058.823529411766</v>
      </c>
      <c r="AD60" s="128">
        <f t="shared" si="23"/>
        <v>999600</v>
      </c>
      <c r="AE60" s="123">
        <v>21000</v>
      </c>
      <c r="AF60" s="123">
        <f t="shared" si="18"/>
        <v>-300117.30000000005</v>
      </c>
      <c r="AG60" s="115"/>
      <c r="AH60" s="115"/>
      <c r="AI60" s="115"/>
      <c r="AJ60" s="115"/>
      <c r="AK60" s="115"/>
      <c r="AL60" s="115"/>
    </row>
    <row r="61" spans="1:38" x14ac:dyDescent="0.25">
      <c r="A61" s="113">
        <v>57</v>
      </c>
      <c r="B61" s="53" t="s">
        <v>518</v>
      </c>
      <c r="C61" s="60" t="s">
        <v>519</v>
      </c>
      <c r="D61" s="54">
        <v>13</v>
      </c>
      <c r="E61" s="54">
        <v>13</v>
      </c>
      <c r="F61" s="54">
        <v>13</v>
      </c>
      <c r="G61" s="54" t="s">
        <v>487</v>
      </c>
      <c r="H61" s="54">
        <v>1</v>
      </c>
      <c r="I61" s="54">
        <v>2</v>
      </c>
      <c r="J61" s="54">
        <v>47.9</v>
      </c>
      <c r="K61" s="54">
        <v>46.4</v>
      </c>
      <c r="L61" s="54">
        <v>25</v>
      </c>
      <c r="M61" s="54">
        <v>2015</v>
      </c>
      <c r="N61" s="55">
        <f t="shared" ref="N61:N66" si="29">J61*31000</f>
        <v>1484900</v>
      </c>
      <c r="O61" s="108">
        <v>1299717.3</v>
      </c>
      <c r="P61" s="56">
        <f t="shared" si="24"/>
        <v>185182.69999999995</v>
      </c>
      <c r="Q61" s="57">
        <f t="shared" si="25"/>
        <v>0.1247105528991851</v>
      </c>
      <c r="R61" s="101">
        <f t="shared" si="26"/>
        <v>31000</v>
      </c>
      <c r="S61" s="99">
        <f t="shared" si="27"/>
        <v>27133.972860125261</v>
      </c>
      <c r="T61" s="99" t="e">
        <f>#REF!</f>
        <v>#REF!</v>
      </c>
      <c r="U61" s="99">
        <v>21000</v>
      </c>
      <c r="V61" s="106">
        <f t="shared" si="28"/>
        <v>1005900</v>
      </c>
      <c r="W61" s="100">
        <f t="shared" si="15"/>
        <v>0.22606246758429702</v>
      </c>
      <c r="X61" s="102">
        <f t="shared" si="16"/>
        <v>-293817.30000000005</v>
      </c>
      <c r="Y61" s="123">
        <v>1493713.5999999999</v>
      </c>
      <c r="Z61" s="123" t="e">
        <f t="shared" ref="Z61:Z66" si="30">J61*T61</f>
        <v>#REF!</v>
      </c>
      <c r="AA61" s="123" t="e">
        <f t="shared" si="17"/>
        <v>#REF!</v>
      </c>
      <c r="AB61" s="123">
        <v>1050000</v>
      </c>
      <c r="AC61" s="123">
        <f t="shared" si="19"/>
        <v>21920.668058455114</v>
      </c>
      <c r="AD61" s="128">
        <f t="shared" si="23"/>
        <v>1005900</v>
      </c>
      <c r="AE61" s="123">
        <v>21000</v>
      </c>
      <c r="AF61" s="123">
        <f t="shared" si="18"/>
        <v>-293817.30000000005</v>
      </c>
      <c r="AG61" s="115"/>
      <c r="AH61" s="115"/>
      <c r="AI61" s="115"/>
      <c r="AJ61" s="115"/>
      <c r="AK61" s="115"/>
      <c r="AL61" s="115"/>
    </row>
    <row r="62" spans="1:38" x14ac:dyDescent="0.25">
      <c r="A62" s="113">
        <v>58</v>
      </c>
      <c r="B62" s="53" t="s">
        <v>518</v>
      </c>
      <c r="C62" s="60" t="s">
        <v>519</v>
      </c>
      <c r="D62" s="54">
        <v>17</v>
      </c>
      <c r="E62" s="54">
        <v>17</v>
      </c>
      <c r="F62" s="54">
        <v>17</v>
      </c>
      <c r="G62" s="54" t="s">
        <v>487</v>
      </c>
      <c r="H62" s="54">
        <v>2</v>
      </c>
      <c r="I62" s="54">
        <v>2</v>
      </c>
      <c r="J62" s="54">
        <v>47.2</v>
      </c>
      <c r="K62" s="54">
        <v>45.7</v>
      </c>
      <c r="L62" s="54">
        <v>25.8</v>
      </c>
      <c r="M62" s="54">
        <v>2015</v>
      </c>
      <c r="N62" s="55">
        <f t="shared" si="29"/>
        <v>1463200</v>
      </c>
      <c r="O62" s="108">
        <v>1299717.3</v>
      </c>
      <c r="P62" s="56">
        <f t="shared" si="24"/>
        <v>163482.69999999995</v>
      </c>
      <c r="Q62" s="57">
        <f t="shared" si="25"/>
        <v>0.11172956533624928</v>
      </c>
      <c r="R62" s="101">
        <f t="shared" si="26"/>
        <v>30999.999999999996</v>
      </c>
      <c r="S62" s="99">
        <f t="shared" si="27"/>
        <v>27536.383474576269</v>
      </c>
      <c r="T62" s="99" t="e">
        <f>T61</f>
        <v>#REF!</v>
      </c>
      <c r="U62" s="99">
        <v>21000</v>
      </c>
      <c r="V62" s="106">
        <f t="shared" si="28"/>
        <v>991200.00000000012</v>
      </c>
      <c r="W62" s="100">
        <f t="shared" si="15"/>
        <v>0.23737261941500656</v>
      </c>
      <c r="X62" s="102">
        <f t="shared" si="16"/>
        <v>-308517.29999999993</v>
      </c>
      <c r="Y62" s="123">
        <v>1471884.8</v>
      </c>
      <c r="Z62" s="123" t="e">
        <f t="shared" si="30"/>
        <v>#REF!</v>
      </c>
      <c r="AA62" s="123" t="e">
        <f t="shared" si="17"/>
        <v>#REF!</v>
      </c>
      <c r="AB62" s="123">
        <v>1050000</v>
      </c>
      <c r="AC62" s="123">
        <f t="shared" si="19"/>
        <v>22245.762711864405</v>
      </c>
      <c r="AD62" s="128">
        <f t="shared" si="23"/>
        <v>991200.00000000012</v>
      </c>
      <c r="AE62" s="123">
        <v>21000</v>
      </c>
      <c r="AF62" s="123">
        <f t="shared" si="18"/>
        <v>-308517.29999999993</v>
      </c>
      <c r="AG62" s="115"/>
      <c r="AH62" s="115"/>
      <c r="AI62" s="115"/>
      <c r="AJ62" s="115"/>
      <c r="AK62" s="115"/>
      <c r="AL62" s="115"/>
    </row>
    <row r="63" spans="1:38" x14ac:dyDescent="0.25">
      <c r="A63" s="113">
        <v>59</v>
      </c>
      <c r="B63" s="53" t="s">
        <v>518</v>
      </c>
      <c r="C63" s="60" t="s">
        <v>519</v>
      </c>
      <c r="D63" s="54">
        <v>21</v>
      </c>
      <c r="E63" s="54">
        <v>21</v>
      </c>
      <c r="F63" s="54">
        <v>21</v>
      </c>
      <c r="G63" s="54" t="s">
        <v>487</v>
      </c>
      <c r="H63" s="54">
        <v>3</v>
      </c>
      <c r="I63" s="54">
        <v>2</v>
      </c>
      <c r="J63" s="54">
        <v>47.6</v>
      </c>
      <c r="K63" s="54">
        <v>46.1</v>
      </c>
      <c r="L63" s="54">
        <v>26.1</v>
      </c>
      <c r="M63" s="54">
        <v>2015</v>
      </c>
      <c r="N63" s="55">
        <f t="shared" si="29"/>
        <v>1475600</v>
      </c>
      <c r="O63" s="108">
        <v>1299717.3</v>
      </c>
      <c r="P63" s="56">
        <f t="shared" si="24"/>
        <v>175882.69999999995</v>
      </c>
      <c r="Q63" s="57">
        <f t="shared" si="25"/>
        <v>0.11919402277039845</v>
      </c>
      <c r="R63" s="101">
        <f t="shared" si="26"/>
        <v>31000</v>
      </c>
      <c r="S63" s="99">
        <f t="shared" si="27"/>
        <v>27304.985294117647</v>
      </c>
      <c r="T63" s="99" t="e">
        <f>T62</f>
        <v>#REF!</v>
      </c>
      <c r="U63" s="99">
        <v>21000</v>
      </c>
      <c r="V63" s="106">
        <f t="shared" si="28"/>
        <v>999600</v>
      </c>
      <c r="W63" s="100">
        <f t="shared" si="15"/>
        <v>0.23090967551174402</v>
      </c>
      <c r="X63" s="102">
        <f t="shared" si="16"/>
        <v>-300117.30000000005</v>
      </c>
      <c r="Y63" s="123">
        <v>1484358.4000000001</v>
      </c>
      <c r="Z63" s="123" t="e">
        <f t="shared" si="30"/>
        <v>#REF!</v>
      </c>
      <c r="AA63" s="123" t="e">
        <f t="shared" si="17"/>
        <v>#REF!</v>
      </c>
      <c r="AB63" s="123">
        <v>1050000</v>
      </c>
      <c r="AC63" s="123">
        <f t="shared" si="19"/>
        <v>22058.823529411766</v>
      </c>
      <c r="AD63" s="128">
        <f t="shared" si="23"/>
        <v>1094800</v>
      </c>
      <c r="AE63" s="123">
        <v>23000</v>
      </c>
      <c r="AF63" s="123">
        <f t="shared" si="18"/>
        <v>-204917.30000000005</v>
      </c>
      <c r="AG63" s="115"/>
      <c r="AH63" s="115"/>
      <c r="AI63" s="115"/>
      <c r="AJ63" s="115"/>
      <c r="AK63" s="115"/>
      <c r="AL63" s="115"/>
    </row>
    <row r="64" spans="1:38" x14ac:dyDescent="0.25">
      <c r="A64" s="113">
        <v>60</v>
      </c>
      <c r="B64" s="53" t="s">
        <v>518</v>
      </c>
      <c r="C64" s="60" t="s">
        <v>519</v>
      </c>
      <c r="D64" s="54">
        <v>22</v>
      </c>
      <c r="E64" s="54">
        <v>22</v>
      </c>
      <c r="F64" s="54">
        <v>22</v>
      </c>
      <c r="G64" s="54" t="s">
        <v>487</v>
      </c>
      <c r="H64" s="54">
        <v>3</v>
      </c>
      <c r="I64" s="54">
        <v>1</v>
      </c>
      <c r="J64" s="54">
        <v>32.200000000000003</v>
      </c>
      <c r="K64" s="54">
        <v>30.7</v>
      </c>
      <c r="L64" s="54">
        <v>14.4</v>
      </c>
      <c r="M64" s="54">
        <v>2015</v>
      </c>
      <c r="N64" s="55">
        <f t="shared" si="29"/>
        <v>998200.00000000012</v>
      </c>
      <c r="O64" s="108">
        <v>887639.64</v>
      </c>
      <c r="P64" s="56">
        <f t="shared" si="24"/>
        <v>110560.3600000001</v>
      </c>
      <c r="Q64" s="57">
        <f t="shared" si="25"/>
        <v>0.11075972750951722</v>
      </c>
      <c r="R64" s="101">
        <f t="shared" si="26"/>
        <v>31000</v>
      </c>
      <c r="S64" s="99">
        <f t="shared" si="27"/>
        <v>27566.448447204966</v>
      </c>
      <c r="T64" s="99" t="e">
        <f>T63</f>
        <v>#REF!</v>
      </c>
      <c r="U64" s="99">
        <v>23500</v>
      </c>
      <c r="V64" s="106">
        <f t="shared" si="28"/>
        <v>756700.00000000012</v>
      </c>
      <c r="W64" s="100">
        <f t="shared" si="15"/>
        <v>0.14751441249288946</v>
      </c>
      <c r="X64" s="102">
        <f t="shared" si="16"/>
        <v>-130939.6399999999</v>
      </c>
      <c r="Y64" s="123">
        <v>1004124.8</v>
      </c>
      <c r="Z64" s="123" t="e">
        <f t="shared" si="30"/>
        <v>#REF!</v>
      </c>
      <c r="AA64" s="123" t="e">
        <f t="shared" si="17"/>
        <v>#REF!</v>
      </c>
      <c r="AB64" s="123">
        <v>800000</v>
      </c>
      <c r="AC64" s="123">
        <f t="shared" si="19"/>
        <v>24844.720496894406</v>
      </c>
      <c r="AD64" s="128">
        <f t="shared" si="23"/>
        <v>740600.00000000012</v>
      </c>
      <c r="AE64" s="123">
        <v>23000</v>
      </c>
      <c r="AF64" s="123">
        <f t="shared" si="18"/>
        <v>-147039.6399999999</v>
      </c>
      <c r="AG64" s="115"/>
      <c r="AH64" s="115"/>
      <c r="AI64" s="115"/>
      <c r="AJ64" s="115"/>
      <c r="AK64" s="115"/>
      <c r="AL64" s="115"/>
    </row>
    <row r="65" spans="1:38" x14ac:dyDescent="0.25">
      <c r="A65" s="113">
        <v>61</v>
      </c>
      <c r="B65" s="53" t="s">
        <v>518</v>
      </c>
      <c r="C65" s="60" t="s">
        <v>519</v>
      </c>
      <c r="D65" s="54">
        <v>23</v>
      </c>
      <c r="E65" s="54">
        <v>23</v>
      </c>
      <c r="F65" s="54">
        <v>23</v>
      </c>
      <c r="G65" s="54" t="s">
        <v>487</v>
      </c>
      <c r="H65" s="54">
        <v>3</v>
      </c>
      <c r="I65" s="54">
        <v>1</v>
      </c>
      <c r="J65" s="54">
        <v>35.5</v>
      </c>
      <c r="K65" s="54">
        <v>34</v>
      </c>
      <c r="L65" s="54">
        <v>14.6</v>
      </c>
      <c r="M65" s="54">
        <v>2015</v>
      </c>
      <c r="N65" s="55">
        <f t="shared" si="29"/>
        <v>1100500</v>
      </c>
      <c r="O65" s="108">
        <v>970608.3</v>
      </c>
      <c r="P65" s="56">
        <f t="shared" si="24"/>
        <v>129891.69999999995</v>
      </c>
      <c r="Q65" s="57">
        <f t="shared" si="25"/>
        <v>0.11802971376646974</v>
      </c>
      <c r="R65" s="101">
        <f t="shared" si="26"/>
        <v>31000</v>
      </c>
      <c r="S65" s="99">
        <f t="shared" si="27"/>
        <v>27341.078873239439</v>
      </c>
      <c r="T65" s="99" t="e">
        <f>T64</f>
        <v>#REF!</v>
      </c>
      <c r="U65" s="99">
        <v>23500</v>
      </c>
      <c r="V65" s="106">
        <f t="shared" si="28"/>
        <v>834250</v>
      </c>
      <c r="W65" s="100">
        <f t="shared" si="15"/>
        <v>0.14048746543791149</v>
      </c>
      <c r="X65" s="102">
        <f t="shared" si="16"/>
        <v>-136358.30000000005</v>
      </c>
      <c r="Y65" s="123">
        <v>1107032</v>
      </c>
      <c r="Z65" s="123" t="e">
        <f t="shared" si="30"/>
        <v>#REF!</v>
      </c>
      <c r="AA65" s="123" t="e">
        <f t="shared" si="17"/>
        <v>#REF!</v>
      </c>
      <c r="AB65" s="123">
        <v>800000</v>
      </c>
      <c r="AC65" s="123">
        <f t="shared" si="19"/>
        <v>22535.211267605635</v>
      </c>
      <c r="AD65" s="128">
        <f t="shared" si="23"/>
        <v>816500</v>
      </c>
      <c r="AE65" s="123">
        <v>23000</v>
      </c>
      <c r="AF65" s="123">
        <f t="shared" si="18"/>
        <v>-154108.30000000005</v>
      </c>
      <c r="AG65" s="115"/>
      <c r="AH65" s="115"/>
      <c r="AI65" s="115"/>
      <c r="AJ65" s="115"/>
      <c r="AK65" s="115"/>
      <c r="AL65" s="115"/>
    </row>
    <row r="66" spans="1:38" x14ac:dyDescent="0.25">
      <c r="A66" s="113">
        <v>62</v>
      </c>
      <c r="B66" s="53" t="s">
        <v>518</v>
      </c>
      <c r="C66" s="60" t="s">
        <v>519</v>
      </c>
      <c r="D66" s="54">
        <v>24</v>
      </c>
      <c r="E66" s="54">
        <v>24</v>
      </c>
      <c r="F66" s="54">
        <v>24</v>
      </c>
      <c r="G66" s="54" t="s">
        <v>487</v>
      </c>
      <c r="H66" s="54">
        <v>3</v>
      </c>
      <c r="I66" s="54">
        <v>1</v>
      </c>
      <c r="J66" s="54">
        <v>34.299999999999997</v>
      </c>
      <c r="K66" s="54">
        <v>32.799999999999997</v>
      </c>
      <c r="L66" s="54">
        <v>14.5</v>
      </c>
      <c r="M66" s="54">
        <v>2015</v>
      </c>
      <c r="N66" s="55">
        <f t="shared" si="29"/>
        <v>1063300</v>
      </c>
      <c r="O66" s="108">
        <v>937420.79</v>
      </c>
      <c r="P66" s="56">
        <f t="shared" si="24"/>
        <v>125879.20999999996</v>
      </c>
      <c r="Q66" s="57">
        <f t="shared" si="25"/>
        <v>0.11838541333584121</v>
      </c>
      <c r="R66" s="101">
        <f t="shared" si="26"/>
        <v>31000.000000000004</v>
      </c>
      <c r="S66" s="99">
        <f t="shared" si="27"/>
        <v>27330.052186588924</v>
      </c>
      <c r="T66" s="99" t="e">
        <f>T65</f>
        <v>#REF!</v>
      </c>
      <c r="U66" s="99">
        <v>23500</v>
      </c>
      <c r="V66" s="106">
        <f t="shared" si="28"/>
        <v>806049.99999999988</v>
      </c>
      <c r="W66" s="100">
        <f t="shared" si="15"/>
        <v>0.14014068324642143</v>
      </c>
      <c r="X66" s="102">
        <f t="shared" si="16"/>
        <v>-131370.79000000015</v>
      </c>
      <c r="Y66" s="123">
        <v>1069611.2</v>
      </c>
      <c r="Z66" s="123" t="e">
        <f t="shared" si="30"/>
        <v>#REF!</v>
      </c>
      <c r="AA66" s="123" t="e">
        <f t="shared" si="17"/>
        <v>#REF!</v>
      </c>
      <c r="AB66" s="123">
        <v>800000</v>
      </c>
      <c r="AC66" s="123">
        <f t="shared" si="19"/>
        <v>23323.615160349855</v>
      </c>
      <c r="AD66" s="128">
        <f t="shared" si="23"/>
        <v>788899.99999999988</v>
      </c>
      <c r="AE66" s="123">
        <v>23000</v>
      </c>
      <c r="AF66" s="123">
        <f t="shared" si="18"/>
        <v>-148520.79000000015</v>
      </c>
      <c r="AG66" s="115"/>
      <c r="AH66" s="115"/>
      <c r="AI66" s="115"/>
      <c r="AJ66" s="115"/>
      <c r="AK66" s="115"/>
      <c r="AL66" s="115"/>
    </row>
    <row r="67" spans="1:38" x14ac:dyDescent="0.25">
      <c r="A67" s="113">
        <v>63</v>
      </c>
      <c r="B67" s="53" t="s">
        <v>509</v>
      </c>
      <c r="C67" s="60" t="s">
        <v>520</v>
      </c>
      <c r="D67" s="54">
        <v>36</v>
      </c>
      <c r="E67" s="54">
        <v>36</v>
      </c>
      <c r="F67" s="54">
        <v>36</v>
      </c>
      <c r="G67" s="54" t="s">
        <v>487</v>
      </c>
      <c r="H67" s="54">
        <v>1</v>
      </c>
      <c r="I67" s="54">
        <v>2</v>
      </c>
      <c r="J67" s="54">
        <v>55.2</v>
      </c>
      <c r="K67" s="54">
        <v>52.9</v>
      </c>
      <c r="L67" s="54">
        <v>25.6</v>
      </c>
      <c r="M67" s="54">
        <v>2015</v>
      </c>
      <c r="N67" s="55">
        <f>J67*28000</f>
        <v>1545600</v>
      </c>
      <c r="O67" s="108">
        <v>1558083.92</v>
      </c>
      <c r="P67" s="56">
        <f t="shared" si="24"/>
        <v>-12483.919999999925</v>
      </c>
      <c r="Q67" s="57">
        <f t="shared" si="25"/>
        <v>0</v>
      </c>
      <c r="R67" s="101">
        <f t="shared" si="26"/>
        <v>28000</v>
      </c>
      <c r="S67" s="99">
        <f t="shared" si="27"/>
        <v>28000</v>
      </c>
      <c r="T67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67" s="99">
        <v>20500</v>
      </c>
      <c r="V67" s="106">
        <f t="shared" si="28"/>
        <v>1131600</v>
      </c>
      <c r="W67" s="100">
        <f t="shared" si="15"/>
        <v>0.27372333064062426</v>
      </c>
      <c r="X67" s="102">
        <f t="shared" si="16"/>
        <v>-426483.91999999993</v>
      </c>
      <c r="Y67" s="123">
        <v>1628400</v>
      </c>
      <c r="Z67" s="123">
        <v>1131431.8607999999</v>
      </c>
      <c r="AA67" s="123">
        <f t="shared" si="17"/>
        <v>20496.953999999998</v>
      </c>
      <c r="AB67" s="123">
        <v>1245600</v>
      </c>
      <c r="AC67" s="123">
        <f t="shared" si="19"/>
        <v>22565.217391304348</v>
      </c>
      <c r="AD67" s="128">
        <f t="shared" si="23"/>
        <v>1104000</v>
      </c>
      <c r="AE67" s="123">
        <v>20000</v>
      </c>
      <c r="AF67" s="123">
        <f t="shared" si="18"/>
        <v>-454083.91999999993</v>
      </c>
      <c r="AG67" s="115"/>
      <c r="AH67" s="115"/>
      <c r="AI67" s="115"/>
      <c r="AJ67" s="115"/>
      <c r="AK67" s="115"/>
      <c r="AL67" s="115"/>
    </row>
    <row r="68" spans="1:38" x14ac:dyDescent="0.25">
      <c r="A68" s="113">
        <v>64</v>
      </c>
      <c r="B68" s="53" t="s">
        <v>509</v>
      </c>
      <c r="C68" s="60" t="s">
        <v>520</v>
      </c>
      <c r="D68" s="54">
        <v>41</v>
      </c>
      <c r="E68" s="54">
        <v>41</v>
      </c>
      <c r="F68" s="54">
        <v>41</v>
      </c>
      <c r="G68" s="54" t="s">
        <v>487</v>
      </c>
      <c r="H68" s="54">
        <v>1</v>
      </c>
      <c r="I68" s="54">
        <v>3</v>
      </c>
      <c r="J68" s="54">
        <v>74</v>
      </c>
      <c r="K68" s="54">
        <v>72.7</v>
      </c>
      <c r="L68" s="54">
        <v>43.2</v>
      </c>
      <c r="M68" s="54">
        <v>2015</v>
      </c>
      <c r="N68" s="55">
        <f>J68*28000</f>
        <v>2072000</v>
      </c>
      <c r="O68" s="108">
        <v>2020830.25</v>
      </c>
      <c r="P68" s="56">
        <f t="shared" si="24"/>
        <v>51169.75</v>
      </c>
      <c r="Q68" s="57">
        <f t="shared" si="25"/>
        <v>2.4695825289575288E-2</v>
      </c>
      <c r="R68" s="101">
        <f t="shared" si="26"/>
        <v>28000</v>
      </c>
      <c r="S68" s="99">
        <f t="shared" si="27"/>
        <v>27308.516891891893</v>
      </c>
      <c r="T68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68" s="99">
        <v>19000</v>
      </c>
      <c r="V68" s="106">
        <f t="shared" si="28"/>
        <v>1406000</v>
      </c>
      <c r="W68" s="100">
        <f t="shared" si="15"/>
        <v>0.30424636111815923</v>
      </c>
      <c r="X68" s="102">
        <f t="shared" si="16"/>
        <v>-614830.25</v>
      </c>
      <c r="Y68" s="123">
        <v>2183000</v>
      </c>
      <c r="Z68" s="123">
        <v>1516774.5959999999</v>
      </c>
      <c r="AA68" s="123">
        <f t="shared" si="17"/>
        <v>20496.953999999998</v>
      </c>
      <c r="AB68" s="123">
        <v>1672000</v>
      </c>
      <c r="AC68" s="123">
        <f t="shared" si="19"/>
        <v>22594.594594594593</v>
      </c>
      <c r="AD68" s="128">
        <f t="shared" si="23"/>
        <v>1406000</v>
      </c>
      <c r="AE68" s="123">
        <v>19000</v>
      </c>
      <c r="AF68" s="123">
        <f t="shared" si="18"/>
        <v>-614830.25</v>
      </c>
      <c r="AG68" s="115"/>
      <c r="AH68" s="115"/>
      <c r="AI68" s="115"/>
      <c r="AJ68" s="115"/>
      <c r="AK68" s="115"/>
      <c r="AL68" s="115"/>
    </row>
    <row r="69" spans="1:38" x14ac:dyDescent="0.25">
      <c r="A69" s="113">
        <v>65</v>
      </c>
      <c r="B69" s="53" t="s">
        <v>509</v>
      </c>
      <c r="C69" s="60" t="s">
        <v>520</v>
      </c>
      <c r="D69" s="54"/>
      <c r="E69" s="54"/>
      <c r="F69" s="54">
        <v>51</v>
      </c>
      <c r="G69" s="54"/>
      <c r="H69" s="54"/>
      <c r="I69" s="54"/>
      <c r="J69" s="54">
        <v>74.099999999999994</v>
      </c>
      <c r="K69" s="54"/>
      <c r="L69" s="54"/>
      <c r="M69" s="54">
        <v>2015</v>
      </c>
      <c r="N69" s="55">
        <f>J69*28000</f>
        <v>2074799.9999999998</v>
      </c>
      <c r="O69" s="108">
        <v>2020830.25</v>
      </c>
      <c r="P69" s="56">
        <f t="shared" si="24"/>
        <v>53969.749999999767</v>
      </c>
      <c r="Q69" s="57">
        <f t="shared" si="25"/>
        <v>2.60120252554462E-2</v>
      </c>
      <c r="R69" s="101">
        <f t="shared" si="26"/>
        <v>28000</v>
      </c>
      <c r="S69" s="99">
        <f t="shared" si="27"/>
        <v>27271.663292847505</v>
      </c>
      <c r="T69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69" s="99">
        <v>19000</v>
      </c>
      <c r="V69" s="106">
        <f t="shared" si="28"/>
        <v>1407900</v>
      </c>
      <c r="W69" s="100">
        <f t="shared" ref="W69:W100" si="31">IF(U69&gt;0,(O69-J69*U69)/O69,0)</f>
        <v>0.30330615349804863</v>
      </c>
      <c r="X69" s="102">
        <f t="shared" ref="X69:X100" si="32">IF(U69&gt;0,J69*U69-O69,0)</f>
        <v>-612930.25</v>
      </c>
      <c r="Y69" s="123">
        <v>2185950</v>
      </c>
      <c r="Z69" s="123">
        <v>1518824.2913999998</v>
      </c>
      <c r="AA69" s="123">
        <f t="shared" ref="AA69:AA100" si="33">Z69/J69</f>
        <v>20496.953999999998</v>
      </c>
      <c r="AB69" s="123">
        <v>1674800</v>
      </c>
      <c r="AC69" s="123">
        <f t="shared" si="19"/>
        <v>22601.889338731446</v>
      </c>
      <c r="AD69" s="128">
        <f t="shared" si="23"/>
        <v>1407900</v>
      </c>
      <c r="AE69" s="123">
        <v>19000</v>
      </c>
      <c r="AF69" s="123">
        <f t="shared" ref="AF69:AF95" si="34">AD69-O69</f>
        <v>-612930.25</v>
      </c>
      <c r="AG69" s="115"/>
      <c r="AH69" s="115"/>
      <c r="AI69" s="115"/>
      <c r="AJ69" s="115"/>
      <c r="AK69" s="115"/>
      <c r="AL69" s="115"/>
    </row>
    <row r="70" spans="1:38" x14ac:dyDescent="0.25">
      <c r="A70" s="113">
        <v>66</v>
      </c>
      <c r="B70" s="53" t="s">
        <v>509</v>
      </c>
      <c r="C70" s="60" t="s">
        <v>520</v>
      </c>
      <c r="D70" s="54">
        <v>61</v>
      </c>
      <c r="E70" s="54">
        <v>61</v>
      </c>
      <c r="F70" s="54">
        <v>61</v>
      </c>
      <c r="G70" s="54" t="s">
        <v>487</v>
      </c>
      <c r="H70" s="54">
        <v>3</v>
      </c>
      <c r="I70" s="54">
        <v>3</v>
      </c>
      <c r="J70" s="54">
        <v>74.2</v>
      </c>
      <c r="K70" s="54">
        <v>72.900000000000006</v>
      </c>
      <c r="L70" s="54">
        <v>43.3</v>
      </c>
      <c r="M70" s="54">
        <v>2015</v>
      </c>
      <c r="N70" s="55">
        <f>J70*28000</f>
        <v>2077600</v>
      </c>
      <c r="O70" s="108">
        <v>2020830.25</v>
      </c>
      <c r="P70" s="56">
        <f t="shared" si="24"/>
        <v>56769.75</v>
      </c>
      <c r="Q70" s="57">
        <f t="shared" si="25"/>
        <v>2.7324677512514439E-2</v>
      </c>
      <c r="R70" s="101">
        <f t="shared" si="26"/>
        <v>28000</v>
      </c>
      <c r="S70" s="99">
        <f t="shared" si="27"/>
        <v>27234.909029649596</v>
      </c>
      <c r="T70" s="99">
        <f>GETPIVOTDATA("Среднее по полю Удельная цена сделки/ предложения, руб./кв.м.",'Росреестр анализ'!$A$3,"Город / Нас.пункт","Красноусольский")</f>
        <v>20496.953999999998</v>
      </c>
      <c r="U70" s="99">
        <v>19000</v>
      </c>
      <c r="V70" s="106">
        <f t="shared" si="28"/>
        <v>1409800</v>
      </c>
      <c r="W70" s="100">
        <f t="shared" si="31"/>
        <v>0.30236594587793802</v>
      </c>
      <c r="X70" s="102">
        <f t="shared" si="32"/>
        <v>-611030.25</v>
      </c>
      <c r="Y70" s="123">
        <v>2188900</v>
      </c>
      <c r="Z70" s="123">
        <v>1520873.9867999998</v>
      </c>
      <c r="AA70" s="123">
        <f t="shared" si="33"/>
        <v>20496.953999999998</v>
      </c>
      <c r="AB70" s="123">
        <v>1677600</v>
      </c>
      <c r="AC70" s="123">
        <f t="shared" si="19"/>
        <v>22609.164420485173</v>
      </c>
      <c r="AD70" s="128">
        <f t="shared" si="23"/>
        <v>1409800</v>
      </c>
      <c r="AE70" s="123">
        <v>19000</v>
      </c>
      <c r="AF70" s="123">
        <f t="shared" si="34"/>
        <v>-611030.25</v>
      </c>
      <c r="AG70" s="115"/>
      <c r="AH70" s="115"/>
      <c r="AI70" s="115"/>
      <c r="AJ70" s="115"/>
      <c r="AK70" s="115"/>
      <c r="AL70" s="115"/>
    </row>
    <row r="71" spans="1:38" ht="15" customHeight="1" x14ac:dyDescent="0.25">
      <c r="A71" s="113">
        <v>67</v>
      </c>
      <c r="B71" s="59" t="s">
        <v>521</v>
      </c>
      <c r="C71" s="60" t="s">
        <v>522</v>
      </c>
      <c r="D71" s="54">
        <v>24</v>
      </c>
      <c r="E71" s="54">
        <v>24</v>
      </c>
      <c r="F71" s="54" t="s">
        <v>487</v>
      </c>
      <c r="G71" s="54"/>
      <c r="H71" s="54">
        <v>1</v>
      </c>
      <c r="I71" s="54">
        <v>3</v>
      </c>
      <c r="J71" s="54">
        <v>60.2</v>
      </c>
      <c r="K71" s="54">
        <v>57.4</v>
      </c>
      <c r="L71" s="54">
        <v>38.5</v>
      </c>
      <c r="M71" s="54">
        <v>2016</v>
      </c>
      <c r="N71" s="55">
        <f>J71*27500</f>
        <v>1655500</v>
      </c>
      <c r="O71" s="108">
        <v>1640413.91</v>
      </c>
      <c r="P71" s="56">
        <f t="shared" si="24"/>
        <v>15086.090000000084</v>
      </c>
      <c r="Q71" s="57">
        <f t="shared" si="25"/>
        <v>9.1127091513138539E-3</v>
      </c>
      <c r="R71" s="101">
        <f t="shared" si="26"/>
        <v>27500</v>
      </c>
      <c r="S71" s="99">
        <f t="shared" si="27"/>
        <v>27249.40049833887</v>
      </c>
      <c r="T71" s="99"/>
      <c r="U71" s="99">
        <v>0</v>
      </c>
      <c r="V71" s="106">
        <f t="shared" si="28"/>
        <v>0</v>
      </c>
      <c r="W71" s="100">
        <f t="shared" si="31"/>
        <v>0</v>
      </c>
      <c r="X71" s="102">
        <f t="shared" si="32"/>
        <v>0</v>
      </c>
      <c r="Y71" s="123">
        <v>1727740</v>
      </c>
      <c r="Z71" s="123"/>
      <c r="AA71" s="123">
        <f t="shared" si="33"/>
        <v>0</v>
      </c>
      <c r="AB71" s="123">
        <v>1300000</v>
      </c>
      <c r="AC71" s="123">
        <f t="shared" si="19"/>
        <v>21594.684385382057</v>
      </c>
      <c r="AD71" s="128">
        <f t="shared" si="23"/>
        <v>1324400</v>
      </c>
      <c r="AE71" s="123">
        <v>22000</v>
      </c>
      <c r="AF71" s="123">
        <f t="shared" si="34"/>
        <v>-316013.90999999992</v>
      </c>
      <c r="AG71" s="115"/>
      <c r="AH71" s="115"/>
      <c r="AI71" s="115"/>
      <c r="AJ71" s="115"/>
      <c r="AK71" s="115"/>
      <c r="AL71" s="115"/>
    </row>
    <row r="72" spans="1:38" x14ac:dyDescent="0.25">
      <c r="A72" s="113">
        <v>68</v>
      </c>
      <c r="B72" s="53" t="s">
        <v>523</v>
      </c>
      <c r="C72" s="60" t="s">
        <v>524</v>
      </c>
      <c r="D72" s="54">
        <v>6</v>
      </c>
      <c r="E72" s="54">
        <v>6</v>
      </c>
      <c r="F72" s="54" t="s">
        <v>487</v>
      </c>
      <c r="G72" s="54"/>
      <c r="H72" s="54">
        <v>2</v>
      </c>
      <c r="I72" s="54">
        <v>2</v>
      </c>
      <c r="J72" s="54">
        <v>51</v>
      </c>
      <c r="K72" s="54">
        <v>50.1</v>
      </c>
      <c r="L72" s="54">
        <v>27.3</v>
      </c>
      <c r="M72" s="54">
        <v>2016</v>
      </c>
      <c r="N72" s="55">
        <f t="shared" ref="N72:N77" si="35">J72*28000</f>
        <v>1428000</v>
      </c>
      <c r="O72" s="110">
        <v>1327246.73</v>
      </c>
      <c r="P72" s="56">
        <f t="shared" si="24"/>
        <v>100753.27000000002</v>
      </c>
      <c r="Q72" s="57">
        <f t="shared" si="25"/>
        <v>7.0555511204481808E-2</v>
      </c>
      <c r="R72" s="101">
        <f t="shared" si="26"/>
        <v>28000</v>
      </c>
      <c r="S72" s="99">
        <f t="shared" si="27"/>
        <v>26024.44568627451</v>
      </c>
      <c r="T72" s="99"/>
      <c r="U72" s="99">
        <v>0</v>
      </c>
      <c r="V72" s="106">
        <f t="shared" si="28"/>
        <v>0</v>
      </c>
      <c r="W72" s="100">
        <f t="shared" si="31"/>
        <v>0</v>
      </c>
      <c r="X72" s="102">
        <f t="shared" si="32"/>
        <v>0</v>
      </c>
      <c r="Y72" s="123">
        <v>1458600</v>
      </c>
      <c r="Z72" s="123"/>
      <c r="AA72" s="123">
        <f t="shared" si="33"/>
        <v>0</v>
      </c>
      <c r="AB72" s="123">
        <v>1000000</v>
      </c>
      <c r="AC72" s="123">
        <f t="shared" si="19"/>
        <v>19607.843137254902</v>
      </c>
      <c r="AD72" s="128">
        <f t="shared" si="23"/>
        <v>1020000</v>
      </c>
      <c r="AE72" s="123">
        <v>20000</v>
      </c>
      <c r="AF72" s="123">
        <f t="shared" si="34"/>
        <v>-307246.73</v>
      </c>
      <c r="AG72" s="115"/>
      <c r="AH72" s="115"/>
      <c r="AI72" s="115"/>
      <c r="AJ72" s="115"/>
      <c r="AK72" s="115"/>
      <c r="AL72" s="115"/>
    </row>
    <row r="73" spans="1:38" x14ac:dyDescent="0.25">
      <c r="A73" s="113">
        <v>69</v>
      </c>
      <c r="B73" s="53" t="s">
        <v>523</v>
      </c>
      <c r="C73" s="60" t="s">
        <v>524</v>
      </c>
      <c r="D73" s="54">
        <v>10</v>
      </c>
      <c r="E73" s="54">
        <v>10</v>
      </c>
      <c r="F73" s="54" t="s">
        <v>487</v>
      </c>
      <c r="G73" s="54"/>
      <c r="H73" s="54">
        <v>3</v>
      </c>
      <c r="I73" s="54">
        <v>2</v>
      </c>
      <c r="J73" s="54">
        <v>49.3</v>
      </c>
      <c r="K73" s="54">
        <v>48.4</v>
      </c>
      <c r="L73" s="54">
        <v>27.3</v>
      </c>
      <c r="M73" s="54">
        <v>2016</v>
      </c>
      <c r="N73" s="55">
        <f t="shared" si="35"/>
        <v>1380400</v>
      </c>
      <c r="O73" s="110">
        <v>1327246.73</v>
      </c>
      <c r="P73" s="56">
        <f t="shared" si="24"/>
        <v>53153.270000000019</v>
      </c>
      <c r="Q73" s="57">
        <f t="shared" si="25"/>
        <v>3.8505701246015663E-2</v>
      </c>
      <c r="R73" s="101">
        <f t="shared" si="26"/>
        <v>28000</v>
      </c>
      <c r="S73" s="99">
        <f t="shared" si="27"/>
        <v>26921.840365111562</v>
      </c>
      <c r="T73" s="99"/>
      <c r="U73" s="99">
        <v>0</v>
      </c>
      <c r="V73" s="106">
        <f t="shared" si="28"/>
        <v>0</v>
      </c>
      <c r="W73" s="100">
        <f t="shared" si="31"/>
        <v>0</v>
      </c>
      <c r="X73" s="102">
        <f t="shared" si="32"/>
        <v>0</v>
      </c>
      <c r="Y73" s="123">
        <v>1409980</v>
      </c>
      <c r="Z73" s="123"/>
      <c r="AA73" s="123">
        <f t="shared" si="33"/>
        <v>0</v>
      </c>
      <c r="AB73" s="123">
        <v>1000000</v>
      </c>
      <c r="AC73" s="123">
        <f t="shared" si="19"/>
        <v>20283.975659229211</v>
      </c>
      <c r="AD73" s="128">
        <f t="shared" si="23"/>
        <v>986000</v>
      </c>
      <c r="AE73" s="123">
        <v>20000</v>
      </c>
      <c r="AF73" s="123">
        <f t="shared" si="34"/>
        <v>-341246.73</v>
      </c>
      <c r="AG73" s="115"/>
      <c r="AH73" s="115"/>
      <c r="AI73" s="115"/>
      <c r="AJ73" s="115"/>
      <c r="AK73" s="115"/>
      <c r="AL73" s="115"/>
    </row>
    <row r="74" spans="1:38" x14ac:dyDescent="0.25">
      <c r="A74" s="113">
        <v>70</v>
      </c>
      <c r="B74" s="53" t="s">
        <v>523</v>
      </c>
      <c r="C74" s="60" t="s">
        <v>524</v>
      </c>
      <c r="D74" s="54">
        <v>23</v>
      </c>
      <c r="E74" s="54">
        <v>23</v>
      </c>
      <c r="F74" s="54" t="s">
        <v>487</v>
      </c>
      <c r="G74" s="54"/>
      <c r="H74" s="54">
        <v>3</v>
      </c>
      <c r="I74" s="54">
        <v>2</v>
      </c>
      <c r="J74" s="54">
        <v>49.2</v>
      </c>
      <c r="K74" s="54">
        <v>48.3</v>
      </c>
      <c r="L74" s="54">
        <v>27.5</v>
      </c>
      <c r="M74" s="54">
        <v>2016</v>
      </c>
      <c r="N74" s="55">
        <f t="shared" si="35"/>
        <v>1377600</v>
      </c>
      <c r="O74" s="110">
        <v>1327246.73</v>
      </c>
      <c r="P74" s="56">
        <f t="shared" si="24"/>
        <v>50353.270000000019</v>
      </c>
      <c r="Q74" s="57">
        <f t="shared" si="25"/>
        <v>3.6551444541231139E-2</v>
      </c>
      <c r="R74" s="101">
        <f t="shared" si="26"/>
        <v>28000</v>
      </c>
      <c r="S74" s="99">
        <f t="shared" si="27"/>
        <v>26976.559552845527</v>
      </c>
      <c r="T74" s="99"/>
      <c r="U74" s="99">
        <v>0</v>
      </c>
      <c r="V74" s="106">
        <f t="shared" si="28"/>
        <v>0</v>
      </c>
      <c r="W74" s="100">
        <f t="shared" si="31"/>
        <v>0</v>
      </c>
      <c r="X74" s="102">
        <f t="shared" si="32"/>
        <v>0</v>
      </c>
      <c r="Y74" s="123">
        <v>1407120</v>
      </c>
      <c r="Z74" s="123"/>
      <c r="AA74" s="123">
        <f t="shared" si="33"/>
        <v>0</v>
      </c>
      <c r="AB74" s="123">
        <v>1000000</v>
      </c>
      <c r="AC74" s="123">
        <f t="shared" si="19"/>
        <v>20325.203252032519</v>
      </c>
      <c r="AD74" s="128">
        <f t="shared" si="23"/>
        <v>984000</v>
      </c>
      <c r="AE74" s="123">
        <v>20000</v>
      </c>
      <c r="AF74" s="123">
        <f t="shared" si="34"/>
        <v>-343246.73</v>
      </c>
      <c r="AG74" s="115"/>
      <c r="AH74" s="115"/>
      <c r="AI74" s="115"/>
      <c r="AJ74" s="115"/>
      <c r="AK74" s="115"/>
      <c r="AL74" s="115"/>
    </row>
    <row r="75" spans="1:38" x14ac:dyDescent="0.25">
      <c r="A75" s="113">
        <v>71</v>
      </c>
      <c r="B75" s="53" t="s">
        <v>523</v>
      </c>
      <c r="C75" s="60" t="s">
        <v>524</v>
      </c>
      <c r="D75" s="54">
        <v>30</v>
      </c>
      <c r="E75" s="54">
        <v>30</v>
      </c>
      <c r="F75" s="54" t="s">
        <v>487</v>
      </c>
      <c r="G75" s="54"/>
      <c r="H75" s="54">
        <v>2</v>
      </c>
      <c r="I75" s="54">
        <v>2</v>
      </c>
      <c r="J75" s="54">
        <v>49.4</v>
      </c>
      <c r="K75" s="54">
        <v>48.5</v>
      </c>
      <c r="L75" s="54">
        <v>25.9</v>
      </c>
      <c r="M75" s="54">
        <v>2016</v>
      </c>
      <c r="N75" s="55">
        <f t="shared" si="35"/>
        <v>1383200</v>
      </c>
      <c r="O75" s="110">
        <v>1327246.73</v>
      </c>
      <c r="P75" s="56">
        <f t="shared" si="24"/>
        <v>55953.270000000019</v>
      </c>
      <c r="Q75" s="57">
        <f t="shared" si="25"/>
        <v>4.0452045980335465E-2</v>
      </c>
      <c r="R75" s="101">
        <f t="shared" si="26"/>
        <v>28000</v>
      </c>
      <c r="S75" s="99">
        <f t="shared" si="27"/>
        <v>26867.342712550606</v>
      </c>
      <c r="T75" s="99"/>
      <c r="U75" s="99">
        <v>0</v>
      </c>
      <c r="V75" s="106">
        <f t="shared" si="28"/>
        <v>0</v>
      </c>
      <c r="W75" s="100">
        <f t="shared" si="31"/>
        <v>0</v>
      </c>
      <c r="X75" s="102">
        <f t="shared" si="32"/>
        <v>0</v>
      </c>
      <c r="Y75" s="123">
        <v>1412840</v>
      </c>
      <c r="Z75" s="123"/>
      <c r="AA75" s="123">
        <f t="shared" si="33"/>
        <v>0</v>
      </c>
      <c r="AB75" s="123">
        <v>1000000</v>
      </c>
      <c r="AC75" s="123">
        <f t="shared" si="19"/>
        <v>20242.914979757086</v>
      </c>
      <c r="AD75" s="128">
        <f t="shared" si="23"/>
        <v>988000</v>
      </c>
      <c r="AE75" s="123">
        <v>20000</v>
      </c>
      <c r="AF75" s="123">
        <f t="shared" si="34"/>
        <v>-339246.73</v>
      </c>
      <c r="AG75" s="115"/>
      <c r="AH75" s="115"/>
      <c r="AI75" s="115"/>
      <c r="AJ75" s="115"/>
      <c r="AK75" s="115"/>
      <c r="AL75" s="115"/>
    </row>
    <row r="76" spans="1:38" x14ac:dyDescent="0.25">
      <c r="A76" s="113">
        <v>72</v>
      </c>
      <c r="B76" s="53" t="s">
        <v>523</v>
      </c>
      <c r="C76" s="60" t="s">
        <v>524</v>
      </c>
      <c r="D76" s="54">
        <v>43</v>
      </c>
      <c r="E76" s="54">
        <v>43</v>
      </c>
      <c r="F76" s="54" t="s">
        <v>487</v>
      </c>
      <c r="G76" s="54"/>
      <c r="H76" s="54">
        <v>2</v>
      </c>
      <c r="I76" s="54">
        <v>2</v>
      </c>
      <c r="J76" s="54">
        <v>51.3</v>
      </c>
      <c r="K76" s="54">
        <v>50.4</v>
      </c>
      <c r="L76" s="54">
        <v>27.5</v>
      </c>
      <c r="M76" s="54">
        <v>2016</v>
      </c>
      <c r="N76" s="55">
        <f t="shared" si="35"/>
        <v>1436400</v>
      </c>
      <c r="O76" s="110">
        <v>1327246.73</v>
      </c>
      <c r="P76" s="56">
        <f t="shared" si="24"/>
        <v>109153.27000000002</v>
      </c>
      <c r="Q76" s="57">
        <f t="shared" si="25"/>
        <v>7.5990859092174901E-2</v>
      </c>
      <c r="R76" s="101">
        <f t="shared" si="26"/>
        <v>28000</v>
      </c>
      <c r="S76" s="99">
        <f t="shared" si="27"/>
        <v>25872.255945419103</v>
      </c>
      <c r="T76" s="99"/>
      <c r="U76" s="99">
        <v>0</v>
      </c>
      <c r="V76" s="106">
        <f t="shared" si="28"/>
        <v>0</v>
      </c>
      <c r="W76" s="100">
        <f t="shared" si="31"/>
        <v>0</v>
      </c>
      <c r="X76" s="102">
        <f t="shared" si="32"/>
        <v>0</v>
      </c>
      <c r="Y76" s="123">
        <v>1467180</v>
      </c>
      <c r="Z76" s="123"/>
      <c r="AA76" s="123">
        <f t="shared" si="33"/>
        <v>0</v>
      </c>
      <c r="AB76" s="123">
        <v>1000000</v>
      </c>
      <c r="AC76" s="123">
        <f t="shared" si="19"/>
        <v>19493.177387914231</v>
      </c>
      <c r="AD76" s="128">
        <f t="shared" si="23"/>
        <v>1026000</v>
      </c>
      <c r="AE76" s="123">
        <v>20000</v>
      </c>
      <c r="AF76" s="123">
        <f t="shared" si="34"/>
        <v>-301246.73</v>
      </c>
      <c r="AG76" s="115"/>
      <c r="AH76" s="115"/>
      <c r="AI76" s="115"/>
      <c r="AJ76" s="115"/>
      <c r="AK76" s="115"/>
      <c r="AL76" s="115"/>
    </row>
    <row r="77" spans="1:38" x14ac:dyDescent="0.25">
      <c r="A77" s="113">
        <v>73</v>
      </c>
      <c r="B77" s="53" t="s">
        <v>523</v>
      </c>
      <c r="C77" s="60" t="s">
        <v>524</v>
      </c>
      <c r="D77" s="54">
        <v>47</v>
      </c>
      <c r="E77" s="54">
        <v>47</v>
      </c>
      <c r="F77" s="54" t="s">
        <v>487</v>
      </c>
      <c r="G77" s="54"/>
      <c r="H77" s="54">
        <v>3</v>
      </c>
      <c r="I77" s="54">
        <v>2</v>
      </c>
      <c r="J77" s="54">
        <v>49.7</v>
      </c>
      <c r="K77" s="54">
        <v>48.8</v>
      </c>
      <c r="L77" s="54">
        <v>27.6</v>
      </c>
      <c r="M77" s="54">
        <v>2016</v>
      </c>
      <c r="N77" s="55">
        <f t="shared" si="35"/>
        <v>1391600</v>
      </c>
      <c r="O77" s="110">
        <v>1320813.01</v>
      </c>
      <c r="P77" s="56">
        <f t="shared" si="24"/>
        <v>70786.989999999991</v>
      </c>
      <c r="Q77" s="57">
        <f t="shared" si="25"/>
        <v>5.0867339752802526E-2</v>
      </c>
      <c r="R77" s="101">
        <f t="shared" si="26"/>
        <v>28000</v>
      </c>
      <c r="S77" s="99">
        <f t="shared" si="27"/>
        <v>26575.714486921526</v>
      </c>
      <c r="T77" s="99"/>
      <c r="U77" s="99">
        <v>0</v>
      </c>
      <c r="V77" s="106">
        <f t="shared" si="28"/>
        <v>0</v>
      </c>
      <c r="W77" s="100">
        <f t="shared" si="31"/>
        <v>0</v>
      </c>
      <c r="X77" s="102">
        <f t="shared" si="32"/>
        <v>0</v>
      </c>
      <c r="Y77" s="123">
        <v>1421420</v>
      </c>
      <c r="Z77" s="123"/>
      <c r="AA77" s="123">
        <f t="shared" si="33"/>
        <v>0</v>
      </c>
      <c r="AB77" s="123">
        <v>1000000</v>
      </c>
      <c r="AC77" s="123">
        <f t="shared" si="19"/>
        <v>20120.724346076458</v>
      </c>
      <c r="AD77" s="128">
        <f t="shared" si="23"/>
        <v>994000</v>
      </c>
      <c r="AE77" s="123">
        <v>20000</v>
      </c>
      <c r="AF77" s="123">
        <f t="shared" si="34"/>
        <v>-326813.01</v>
      </c>
      <c r="AG77" s="115"/>
      <c r="AH77" s="115"/>
      <c r="AI77" s="115"/>
      <c r="AJ77" s="115"/>
      <c r="AK77" s="115"/>
      <c r="AL77" s="115"/>
    </row>
    <row r="78" spans="1:38" x14ac:dyDescent="0.25">
      <c r="A78" s="113">
        <v>74</v>
      </c>
      <c r="B78" s="53" t="s">
        <v>526</v>
      </c>
      <c r="C78" s="60" t="s">
        <v>527</v>
      </c>
      <c r="D78" s="54">
        <v>4</v>
      </c>
      <c r="E78" s="54">
        <v>4</v>
      </c>
      <c r="F78" s="54">
        <v>4</v>
      </c>
      <c r="G78" s="54" t="s">
        <v>487</v>
      </c>
      <c r="H78" s="54">
        <v>1</v>
      </c>
      <c r="I78" s="54">
        <v>2</v>
      </c>
      <c r="J78" s="54">
        <v>48.1</v>
      </c>
      <c r="K78" s="54">
        <v>48</v>
      </c>
      <c r="L78" s="54">
        <v>28.8</v>
      </c>
      <c r="M78" s="54">
        <v>2016</v>
      </c>
      <c r="N78" s="55">
        <f t="shared" ref="N78:N83" si="36">J78*32000</f>
        <v>1539200</v>
      </c>
      <c r="O78" s="110">
        <v>1472390.04</v>
      </c>
      <c r="P78" s="56">
        <f t="shared" si="24"/>
        <v>66809.959999999963</v>
      </c>
      <c r="Q78" s="57">
        <f t="shared" si="25"/>
        <v>4.3405639293139266E-2</v>
      </c>
      <c r="R78" s="101">
        <f t="shared" si="26"/>
        <v>32000</v>
      </c>
      <c r="S78" s="99">
        <f t="shared" si="27"/>
        <v>30611.019542619542</v>
      </c>
      <c r="T78" s="99"/>
      <c r="U78" s="99">
        <v>0</v>
      </c>
      <c r="V78" s="106">
        <f t="shared" si="28"/>
        <v>0</v>
      </c>
      <c r="W78" s="100">
        <f t="shared" si="31"/>
        <v>0</v>
      </c>
      <c r="X78" s="102">
        <f t="shared" si="32"/>
        <v>0</v>
      </c>
      <c r="Y78" s="123">
        <v>1645020</v>
      </c>
      <c r="Z78" s="123"/>
      <c r="AA78" s="123">
        <f t="shared" si="33"/>
        <v>0</v>
      </c>
      <c r="AB78" s="123">
        <v>1539200</v>
      </c>
      <c r="AC78" s="123">
        <f t="shared" ref="AC78:AC109" si="37">AB78/J78</f>
        <v>32000</v>
      </c>
      <c r="AD78" s="128">
        <f t="shared" si="23"/>
        <v>1443000</v>
      </c>
      <c r="AE78" s="123">
        <v>30000</v>
      </c>
      <c r="AF78" s="123">
        <f t="shared" si="34"/>
        <v>-29390.040000000037</v>
      </c>
      <c r="AG78" s="115"/>
      <c r="AH78" s="115"/>
      <c r="AI78" s="115"/>
      <c r="AJ78" s="115"/>
      <c r="AK78" s="115"/>
      <c r="AL78" s="115"/>
    </row>
    <row r="79" spans="1:38" x14ac:dyDescent="0.25">
      <c r="A79" s="113">
        <v>75</v>
      </c>
      <c r="B79" s="53" t="s">
        <v>526</v>
      </c>
      <c r="C79" s="60" t="s">
        <v>527</v>
      </c>
      <c r="D79" s="54">
        <v>12</v>
      </c>
      <c r="E79" s="54">
        <v>12</v>
      </c>
      <c r="F79" s="54">
        <v>12</v>
      </c>
      <c r="G79" s="54" t="s">
        <v>487</v>
      </c>
      <c r="H79" s="54">
        <v>3</v>
      </c>
      <c r="I79" s="54">
        <v>2</v>
      </c>
      <c r="J79" s="54">
        <v>48.1</v>
      </c>
      <c r="K79" s="54">
        <v>47.9</v>
      </c>
      <c r="L79" s="54">
        <v>28.7</v>
      </c>
      <c r="M79" s="54">
        <v>2016</v>
      </c>
      <c r="N79" s="55">
        <f t="shared" si="36"/>
        <v>1539200</v>
      </c>
      <c r="O79" s="110">
        <v>1472390.04</v>
      </c>
      <c r="P79" s="56">
        <f t="shared" si="24"/>
        <v>66809.959999999963</v>
      </c>
      <c r="Q79" s="57">
        <f t="shared" si="25"/>
        <v>4.3405639293139266E-2</v>
      </c>
      <c r="R79" s="101">
        <f t="shared" si="26"/>
        <v>32000</v>
      </c>
      <c r="S79" s="99">
        <f t="shared" si="27"/>
        <v>30611.019542619542</v>
      </c>
      <c r="T79" s="99"/>
      <c r="U79" s="99">
        <v>0</v>
      </c>
      <c r="V79" s="106">
        <f t="shared" si="28"/>
        <v>0</v>
      </c>
      <c r="W79" s="100">
        <f t="shared" si="31"/>
        <v>0</v>
      </c>
      <c r="X79" s="102">
        <f t="shared" si="32"/>
        <v>0</v>
      </c>
      <c r="Y79" s="123">
        <v>1645020</v>
      </c>
      <c r="Z79" s="123"/>
      <c r="AA79" s="123">
        <f t="shared" si="33"/>
        <v>0</v>
      </c>
      <c r="AB79" s="123">
        <v>1539200</v>
      </c>
      <c r="AC79" s="123">
        <f t="shared" si="37"/>
        <v>32000</v>
      </c>
      <c r="AD79" s="128">
        <f t="shared" si="23"/>
        <v>1443000</v>
      </c>
      <c r="AE79" s="123">
        <v>30000</v>
      </c>
      <c r="AF79" s="123">
        <f t="shared" si="34"/>
        <v>-29390.040000000037</v>
      </c>
      <c r="AG79" s="115"/>
      <c r="AH79" s="115"/>
      <c r="AI79" s="115"/>
      <c r="AJ79" s="115"/>
      <c r="AK79" s="115"/>
      <c r="AL79" s="115"/>
    </row>
    <row r="80" spans="1:38" x14ac:dyDescent="0.25">
      <c r="A80" s="113">
        <v>76</v>
      </c>
      <c r="B80" s="53" t="s">
        <v>526</v>
      </c>
      <c r="C80" s="60" t="s">
        <v>527</v>
      </c>
      <c r="D80" s="54">
        <v>16</v>
      </c>
      <c r="E80" s="54">
        <v>16</v>
      </c>
      <c r="F80" s="54">
        <v>16</v>
      </c>
      <c r="G80" s="54" t="s">
        <v>487</v>
      </c>
      <c r="H80" s="54">
        <v>2</v>
      </c>
      <c r="I80" s="54">
        <v>3</v>
      </c>
      <c r="J80" s="54">
        <v>62.2</v>
      </c>
      <c r="K80" s="54">
        <v>62</v>
      </c>
      <c r="L80" s="54">
        <v>41.3</v>
      </c>
      <c r="M80" s="54">
        <v>2016</v>
      </c>
      <c r="N80" s="55">
        <f t="shared" si="36"/>
        <v>1990400</v>
      </c>
      <c r="O80" s="110">
        <v>2004437.63</v>
      </c>
      <c r="P80" s="56">
        <f t="shared" si="24"/>
        <v>-14037.629999999888</v>
      </c>
      <c r="Q80" s="57">
        <f t="shared" si="25"/>
        <v>0</v>
      </c>
      <c r="R80" s="101">
        <f t="shared" si="26"/>
        <v>32000</v>
      </c>
      <c r="S80" s="99">
        <f t="shared" si="27"/>
        <v>32000</v>
      </c>
      <c r="T80" s="99"/>
      <c r="U80" s="99">
        <v>0</v>
      </c>
      <c r="V80" s="106">
        <f t="shared" si="28"/>
        <v>0</v>
      </c>
      <c r="W80" s="100">
        <f t="shared" si="31"/>
        <v>0</v>
      </c>
      <c r="X80" s="102">
        <f t="shared" si="32"/>
        <v>0</v>
      </c>
      <c r="Y80" s="123">
        <v>2127240</v>
      </c>
      <c r="Z80" s="123"/>
      <c r="AA80" s="123">
        <f t="shared" si="33"/>
        <v>0</v>
      </c>
      <c r="AB80" s="123">
        <v>1928200</v>
      </c>
      <c r="AC80" s="123">
        <f t="shared" si="37"/>
        <v>31000</v>
      </c>
      <c r="AD80" s="128">
        <f t="shared" si="23"/>
        <v>1866000</v>
      </c>
      <c r="AE80" s="123">
        <v>30000</v>
      </c>
      <c r="AF80" s="123">
        <f t="shared" si="34"/>
        <v>-138437.62999999989</v>
      </c>
      <c r="AG80" s="115"/>
      <c r="AH80" s="115"/>
      <c r="AI80" s="115"/>
      <c r="AJ80" s="115"/>
      <c r="AK80" s="115"/>
      <c r="AL80" s="115"/>
    </row>
    <row r="81" spans="1:39" x14ac:dyDescent="0.25">
      <c r="A81" s="113">
        <v>77</v>
      </c>
      <c r="B81" s="53" t="s">
        <v>526</v>
      </c>
      <c r="C81" s="60" t="s">
        <v>527</v>
      </c>
      <c r="D81" s="54">
        <v>18</v>
      </c>
      <c r="E81" s="54">
        <v>18</v>
      </c>
      <c r="F81" s="54">
        <v>18</v>
      </c>
      <c r="G81" s="54" t="s">
        <v>487</v>
      </c>
      <c r="H81" s="54">
        <v>2</v>
      </c>
      <c r="I81" s="54">
        <v>2</v>
      </c>
      <c r="J81" s="54">
        <v>48.6</v>
      </c>
      <c r="K81" s="54">
        <v>48.4</v>
      </c>
      <c r="L81" s="54">
        <v>29.2</v>
      </c>
      <c r="M81" s="54">
        <v>2016</v>
      </c>
      <c r="N81" s="55">
        <f t="shared" si="36"/>
        <v>1555200</v>
      </c>
      <c r="O81" s="110">
        <v>1516883.2</v>
      </c>
      <c r="P81" s="56">
        <f t="shared" si="24"/>
        <v>38316.800000000047</v>
      </c>
      <c r="Q81" s="57">
        <f t="shared" si="25"/>
        <v>2.4637860082304557E-2</v>
      </c>
      <c r="R81" s="101">
        <f t="shared" si="26"/>
        <v>32000</v>
      </c>
      <c r="S81" s="99">
        <f t="shared" si="27"/>
        <v>31211.588477366255</v>
      </c>
      <c r="T81" s="99"/>
      <c r="U81" s="99">
        <v>0</v>
      </c>
      <c r="V81" s="106">
        <f t="shared" si="28"/>
        <v>0</v>
      </c>
      <c r="W81" s="100">
        <f t="shared" si="31"/>
        <v>0</v>
      </c>
      <c r="X81" s="102">
        <f t="shared" si="32"/>
        <v>0</v>
      </c>
      <c r="Y81" s="123">
        <v>1662120</v>
      </c>
      <c r="Z81" s="123"/>
      <c r="AA81" s="123">
        <f t="shared" si="33"/>
        <v>0</v>
      </c>
      <c r="AB81" s="123">
        <v>1555200</v>
      </c>
      <c r="AC81" s="123">
        <f t="shared" si="37"/>
        <v>32000</v>
      </c>
      <c r="AD81" s="128">
        <f t="shared" si="23"/>
        <v>1458000</v>
      </c>
      <c r="AE81" s="123">
        <v>30000</v>
      </c>
      <c r="AF81" s="123">
        <f t="shared" si="34"/>
        <v>-58883.199999999953</v>
      </c>
      <c r="AG81" s="115"/>
      <c r="AH81" s="115"/>
      <c r="AI81" s="115"/>
      <c r="AJ81" s="115"/>
      <c r="AK81" s="115"/>
      <c r="AL81" s="115"/>
    </row>
    <row r="82" spans="1:39" x14ac:dyDescent="0.25">
      <c r="A82" s="113">
        <v>78</v>
      </c>
      <c r="B82" s="53" t="s">
        <v>526</v>
      </c>
      <c r="C82" s="60" t="s">
        <v>527</v>
      </c>
      <c r="D82" s="54">
        <v>19</v>
      </c>
      <c r="E82" s="54">
        <v>19</v>
      </c>
      <c r="F82" s="54">
        <v>19</v>
      </c>
      <c r="G82" s="54" t="s">
        <v>487</v>
      </c>
      <c r="H82" s="54">
        <v>3</v>
      </c>
      <c r="I82" s="54">
        <v>3</v>
      </c>
      <c r="J82" s="54">
        <v>63.3</v>
      </c>
      <c r="K82" s="54">
        <v>63.1</v>
      </c>
      <c r="L82" s="54">
        <v>41.3</v>
      </c>
      <c r="M82" s="54">
        <v>2016</v>
      </c>
      <c r="N82" s="55">
        <f t="shared" si="36"/>
        <v>2025600</v>
      </c>
      <c r="O82" s="110">
        <f>J82*30834</f>
        <v>1951792.2</v>
      </c>
      <c r="P82" s="56">
        <f t="shared" si="24"/>
        <v>73807.800000000047</v>
      </c>
      <c r="Q82" s="57">
        <f t="shared" si="25"/>
        <v>3.6437500000000025E-2</v>
      </c>
      <c r="R82" s="101">
        <f t="shared" si="26"/>
        <v>32000</v>
      </c>
      <c r="S82" s="99">
        <f t="shared" si="27"/>
        <v>30834</v>
      </c>
      <c r="T82" s="99"/>
      <c r="U82" s="99">
        <v>0</v>
      </c>
      <c r="V82" s="106">
        <f t="shared" si="28"/>
        <v>0</v>
      </c>
      <c r="W82" s="100">
        <f t="shared" si="31"/>
        <v>0</v>
      </c>
      <c r="X82" s="102">
        <f t="shared" si="32"/>
        <v>0</v>
      </c>
      <c r="Y82" s="123">
        <v>2164860</v>
      </c>
      <c r="Z82" s="123"/>
      <c r="AA82" s="123">
        <f t="shared" si="33"/>
        <v>0</v>
      </c>
      <c r="AB82" s="123">
        <v>1962300</v>
      </c>
      <c r="AC82" s="123">
        <f t="shared" si="37"/>
        <v>31000</v>
      </c>
      <c r="AD82" s="128">
        <f t="shared" si="23"/>
        <v>1899000</v>
      </c>
      <c r="AE82" s="123">
        <v>30000</v>
      </c>
      <c r="AF82" s="123">
        <f t="shared" si="34"/>
        <v>-52792.199999999953</v>
      </c>
      <c r="AG82" s="115"/>
      <c r="AH82" s="115"/>
      <c r="AI82" s="115"/>
      <c r="AJ82" s="115"/>
      <c r="AK82" s="115"/>
      <c r="AL82" s="115"/>
    </row>
    <row r="83" spans="1:39" x14ac:dyDescent="0.25">
      <c r="A83" s="113">
        <v>79</v>
      </c>
      <c r="B83" s="53" t="s">
        <v>526</v>
      </c>
      <c r="C83" s="60" t="s">
        <v>527</v>
      </c>
      <c r="D83" s="54">
        <v>21</v>
      </c>
      <c r="E83" s="54">
        <v>21</v>
      </c>
      <c r="F83" s="54">
        <v>21</v>
      </c>
      <c r="G83" s="54" t="s">
        <v>487</v>
      </c>
      <c r="H83" s="54">
        <v>3</v>
      </c>
      <c r="I83" s="54">
        <v>2</v>
      </c>
      <c r="J83" s="54">
        <v>48.9</v>
      </c>
      <c r="K83" s="54">
        <v>48.7</v>
      </c>
      <c r="L83" s="54">
        <v>29.5</v>
      </c>
      <c r="M83" s="54">
        <v>2016</v>
      </c>
      <c r="N83" s="55">
        <f t="shared" si="36"/>
        <v>1564800</v>
      </c>
      <c r="O83" s="110">
        <v>1552134.75</v>
      </c>
      <c r="P83" s="56">
        <f t="shared" si="24"/>
        <v>12665.25</v>
      </c>
      <c r="Q83" s="57">
        <f t="shared" si="25"/>
        <v>8.0938458588957051E-3</v>
      </c>
      <c r="R83" s="101">
        <f t="shared" si="26"/>
        <v>32000</v>
      </c>
      <c r="S83" s="99">
        <f t="shared" si="27"/>
        <v>31740.99693251534</v>
      </c>
      <c r="T83" s="99"/>
      <c r="U83" s="99">
        <v>0</v>
      </c>
      <c r="V83" s="106">
        <f t="shared" si="28"/>
        <v>0</v>
      </c>
      <c r="W83" s="100">
        <f t="shared" si="31"/>
        <v>0</v>
      </c>
      <c r="X83" s="102">
        <f t="shared" si="32"/>
        <v>0</v>
      </c>
      <c r="Y83" s="123">
        <v>1672380</v>
      </c>
      <c r="Z83" s="123"/>
      <c r="AA83" s="123">
        <f t="shared" si="33"/>
        <v>0</v>
      </c>
      <c r="AB83" s="123">
        <v>1564800</v>
      </c>
      <c r="AC83" s="123">
        <f t="shared" si="37"/>
        <v>32000</v>
      </c>
      <c r="AD83" s="128">
        <f t="shared" si="23"/>
        <v>1467000</v>
      </c>
      <c r="AE83" s="123">
        <v>30000</v>
      </c>
      <c r="AF83" s="123">
        <f t="shared" si="34"/>
        <v>-85134.75</v>
      </c>
      <c r="AG83" s="115"/>
      <c r="AH83" s="115"/>
      <c r="AI83" s="115"/>
      <c r="AJ83" s="115"/>
      <c r="AK83" s="115"/>
      <c r="AL83" s="115"/>
    </row>
    <row r="84" spans="1:39" x14ac:dyDescent="0.25">
      <c r="A84" s="113">
        <v>80</v>
      </c>
      <c r="B84" s="53" t="s">
        <v>528</v>
      </c>
      <c r="C84" s="60" t="s">
        <v>529</v>
      </c>
      <c r="D84" s="54">
        <v>10</v>
      </c>
      <c r="E84" s="54">
        <v>10</v>
      </c>
      <c r="F84" s="54">
        <v>10</v>
      </c>
      <c r="G84" s="54" t="s">
        <v>487</v>
      </c>
      <c r="H84" s="54">
        <v>3</v>
      </c>
      <c r="I84" s="54">
        <v>2</v>
      </c>
      <c r="J84" s="54">
        <v>44.7</v>
      </c>
      <c r="K84" s="54">
        <v>43.6</v>
      </c>
      <c r="L84" s="54">
        <v>26.7</v>
      </c>
      <c r="M84" s="54">
        <v>2016</v>
      </c>
      <c r="N84" s="55">
        <f t="shared" ref="N84:N91" si="38">J84*29000</f>
        <v>1296300</v>
      </c>
      <c r="O84" s="110">
        <v>1276842.1499999999</v>
      </c>
      <c r="P84" s="56">
        <f t="shared" si="24"/>
        <v>19457.850000000093</v>
      </c>
      <c r="Q84" s="57">
        <f t="shared" si="25"/>
        <v>1.5010298542004238E-2</v>
      </c>
      <c r="R84" s="101">
        <f t="shared" si="26"/>
        <v>28999.999999999996</v>
      </c>
      <c r="S84" s="99">
        <f t="shared" si="27"/>
        <v>28564.701342281875</v>
      </c>
      <c r="T84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84" s="99">
        <v>22200</v>
      </c>
      <c r="V84" s="106">
        <f t="shared" si="28"/>
        <v>992340.00000000012</v>
      </c>
      <c r="W84" s="100">
        <f t="shared" si="31"/>
        <v>0.22281700991778805</v>
      </c>
      <c r="X84" s="102">
        <f t="shared" si="32"/>
        <v>-284502.14999999979</v>
      </c>
      <c r="Y84" s="123">
        <v>1296300</v>
      </c>
      <c r="Z84" s="123">
        <v>990997.78671428573</v>
      </c>
      <c r="AA84" s="123">
        <f t="shared" si="33"/>
        <v>22169.972857142857</v>
      </c>
      <c r="AB84" s="123">
        <v>1196300</v>
      </c>
      <c r="AC84" s="123">
        <f t="shared" si="37"/>
        <v>26762.863534675613</v>
      </c>
      <c r="AD84" s="128">
        <f t="shared" si="23"/>
        <v>992340.00000000012</v>
      </c>
      <c r="AE84" s="123">
        <v>22200</v>
      </c>
      <c r="AF84" s="123">
        <f t="shared" si="34"/>
        <v>-284502.14999999979</v>
      </c>
      <c r="AG84" s="115"/>
      <c r="AH84" s="115"/>
      <c r="AI84" s="115"/>
      <c r="AJ84" s="115"/>
      <c r="AK84" s="115"/>
      <c r="AL84" s="115"/>
    </row>
    <row r="85" spans="1:39" x14ac:dyDescent="0.25">
      <c r="A85" s="113">
        <v>81</v>
      </c>
      <c r="B85" s="53" t="s">
        <v>528</v>
      </c>
      <c r="C85" s="60" t="s">
        <v>529</v>
      </c>
      <c r="D85" s="54">
        <v>20</v>
      </c>
      <c r="E85" s="54">
        <v>20</v>
      </c>
      <c r="F85" s="54">
        <v>20</v>
      </c>
      <c r="G85" s="54" t="s">
        <v>487</v>
      </c>
      <c r="H85" s="54">
        <v>1</v>
      </c>
      <c r="I85" s="54">
        <v>2</v>
      </c>
      <c r="J85" s="54">
        <v>44.5</v>
      </c>
      <c r="K85" s="54">
        <v>43.5</v>
      </c>
      <c r="L85" s="54">
        <v>26.7</v>
      </c>
      <c r="M85" s="54">
        <v>2016</v>
      </c>
      <c r="N85" s="55">
        <f t="shared" si="38"/>
        <v>1290500</v>
      </c>
      <c r="O85" s="110">
        <v>1276842.1499999999</v>
      </c>
      <c r="P85" s="56">
        <f t="shared" si="24"/>
        <v>13657.850000000093</v>
      </c>
      <c r="Q85" s="57">
        <f t="shared" si="25"/>
        <v>1.0583378535451448E-2</v>
      </c>
      <c r="R85" s="101">
        <f t="shared" si="26"/>
        <v>29000</v>
      </c>
      <c r="S85" s="99">
        <f t="shared" si="27"/>
        <v>28693.082022471906</v>
      </c>
      <c r="T85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85" s="99">
        <v>22200</v>
      </c>
      <c r="V85" s="106">
        <f t="shared" si="28"/>
        <v>987900</v>
      </c>
      <c r="W85" s="100">
        <f t="shared" si="31"/>
        <v>0.22629433873247365</v>
      </c>
      <c r="X85" s="102">
        <f t="shared" si="32"/>
        <v>-288942.14999999991</v>
      </c>
      <c r="Y85" s="123">
        <v>1290500</v>
      </c>
      <c r="Z85" s="123">
        <v>986563.7921428571</v>
      </c>
      <c r="AA85" s="123">
        <f t="shared" si="33"/>
        <v>22169.972857142857</v>
      </c>
      <c r="AB85" s="123">
        <v>1190500</v>
      </c>
      <c r="AC85" s="123">
        <f t="shared" si="37"/>
        <v>26752.808988764045</v>
      </c>
      <c r="AD85" s="128">
        <f t="shared" si="23"/>
        <v>987900</v>
      </c>
      <c r="AE85" s="123">
        <v>22200</v>
      </c>
      <c r="AF85" s="123">
        <f t="shared" si="34"/>
        <v>-288942.14999999991</v>
      </c>
      <c r="AG85" s="115"/>
      <c r="AH85" s="115"/>
      <c r="AI85" s="115"/>
      <c r="AJ85" s="115"/>
      <c r="AK85" s="115"/>
      <c r="AL85" s="115"/>
    </row>
    <row r="86" spans="1:39" x14ac:dyDescent="0.25">
      <c r="A86" s="113">
        <v>82</v>
      </c>
      <c r="B86" s="53" t="s">
        <v>528</v>
      </c>
      <c r="C86" s="60" t="s">
        <v>529</v>
      </c>
      <c r="D86" s="54">
        <v>21</v>
      </c>
      <c r="E86" s="54">
        <v>21</v>
      </c>
      <c r="F86" s="54">
        <v>21</v>
      </c>
      <c r="G86" s="54" t="s">
        <v>487</v>
      </c>
      <c r="H86" s="54">
        <v>1</v>
      </c>
      <c r="I86" s="54">
        <v>2</v>
      </c>
      <c r="J86" s="54">
        <v>44.6</v>
      </c>
      <c r="K86" s="54">
        <v>43.6</v>
      </c>
      <c r="L86" s="54">
        <v>26.7</v>
      </c>
      <c r="M86" s="54">
        <v>2016</v>
      </c>
      <c r="N86" s="55">
        <f t="shared" si="38"/>
        <v>1293400</v>
      </c>
      <c r="O86" s="110">
        <v>1276842.1499999999</v>
      </c>
      <c r="P86" s="56">
        <f t="shared" si="24"/>
        <v>16557.850000000093</v>
      </c>
      <c r="Q86" s="57">
        <f t="shared" si="25"/>
        <v>1.2801801453533395E-2</v>
      </c>
      <c r="R86" s="101">
        <f t="shared" si="26"/>
        <v>29000</v>
      </c>
      <c r="S86" s="99">
        <f t="shared" si="27"/>
        <v>28628.74775784753</v>
      </c>
      <c r="T86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86" s="99">
        <v>22200</v>
      </c>
      <c r="V86" s="106">
        <f t="shared" si="28"/>
        <v>990120</v>
      </c>
      <c r="W86" s="100">
        <f t="shared" si="31"/>
        <v>0.22455567432513091</v>
      </c>
      <c r="X86" s="102">
        <f t="shared" si="32"/>
        <v>-286722.14999999991</v>
      </c>
      <c r="Y86" s="123">
        <v>1293400</v>
      </c>
      <c r="Z86" s="123">
        <v>988780.78942857147</v>
      </c>
      <c r="AA86" s="123">
        <f t="shared" si="33"/>
        <v>22169.972857142857</v>
      </c>
      <c r="AB86" s="123">
        <v>1193400</v>
      </c>
      <c r="AC86" s="123">
        <f t="shared" si="37"/>
        <v>26757.847533632284</v>
      </c>
      <c r="AD86" s="128">
        <f t="shared" si="23"/>
        <v>990120</v>
      </c>
      <c r="AE86" s="123">
        <v>22200</v>
      </c>
      <c r="AF86" s="123">
        <f t="shared" si="34"/>
        <v>-286722.14999999991</v>
      </c>
      <c r="AG86" s="115"/>
      <c r="AH86" s="115"/>
      <c r="AI86" s="115"/>
      <c r="AJ86" s="115"/>
      <c r="AK86" s="115"/>
      <c r="AL86" s="115"/>
    </row>
    <row r="87" spans="1:39" x14ac:dyDescent="0.25">
      <c r="A87" s="113">
        <v>83</v>
      </c>
      <c r="B87" s="53" t="s">
        <v>528</v>
      </c>
      <c r="C87" s="60" t="s">
        <v>529</v>
      </c>
      <c r="D87" s="54">
        <v>24</v>
      </c>
      <c r="E87" s="54">
        <v>24</v>
      </c>
      <c r="F87" s="54">
        <v>24</v>
      </c>
      <c r="G87" s="54" t="s">
        <v>487</v>
      </c>
      <c r="H87" s="54">
        <v>2</v>
      </c>
      <c r="I87" s="54">
        <v>2</v>
      </c>
      <c r="J87" s="54">
        <v>44.6</v>
      </c>
      <c r="K87" s="54">
        <v>43.6</v>
      </c>
      <c r="L87" s="54">
        <v>26.7</v>
      </c>
      <c r="M87" s="54">
        <v>2016</v>
      </c>
      <c r="N87" s="55">
        <f t="shared" si="38"/>
        <v>1293400</v>
      </c>
      <c r="O87" s="110">
        <v>1276842.1499999999</v>
      </c>
      <c r="P87" s="56">
        <f t="shared" si="24"/>
        <v>16557.850000000093</v>
      </c>
      <c r="Q87" s="57">
        <f t="shared" si="25"/>
        <v>1.2801801453533395E-2</v>
      </c>
      <c r="R87" s="101">
        <f t="shared" si="26"/>
        <v>29000</v>
      </c>
      <c r="S87" s="99">
        <f t="shared" si="27"/>
        <v>28628.74775784753</v>
      </c>
      <c r="T87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87" s="99">
        <v>22200</v>
      </c>
      <c r="V87" s="106">
        <f t="shared" si="28"/>
        <v>990120</v>
      </c>
      <c r="W87" s="100">
        <f t="shared" si="31"/>
        <v>0.22455567432513091</v>
      </c>
      <c r="X87" s="102">
        <f t="shared" si="32"/>
        <v>-286722.14999999991</v>
      </c>
      <c r="Y87" s="123">
        <v>1293400</v>
      </c>
      <c r="Z87" s="123">
        <v>988780.78942857147</v>
      </c>
      <c r="AA87" s="123">
        <f t="shared" si="33"/>
        <v>22169.972857142857</v>
      </c>
      <c r="AB87" s="123">
        <v>1193400</v>
      </c>
      <c r="AC87" s="123">
        <f t="shared" si="37"/>
        <v>26757.847533632284</v>
      </c>
      <c r="AD87" s="128">
        <f t="shared" si="23"/>
        <v>990120</v>
      </c>
      <c r="AE87" s="123">
        <v>22200</v>
      </c>
      <c r="AF87" s="123">
        <f t="shared" si="34"/>
        <v>-286722.14999999991</v>
      </c>
      <c r="AG87" s="115"/>
      <c r="AH87" s="115"/>
      <c r="AI87" s="115"/>
      <c r="AJ87" s="115"/>
      <c r="AK87" s="115"/>
      <c r="AL87" s="115"/>
    </row>
    <row r="88" spans="1:39" x14ac:dyDescent="0.25">
      <c r="A88" s="113">
        <v>84</v>
      </c>
      <c r="B88" s="53" t="s">
        <v>528</v>
      </c>
      <c r="C88" s="60" t="s">
        <v>529</v>
      </c>
      <c r="D88" s="54">
        <v>28</v>
      </c>
      <c r="E88" s="54">
        <v>28</v>
      </c>
      <c r="F88" s="54">
        <v>28</v>
      </c>
      <c r="G88" s="54" t="s">
        <v>487</v>
      </c>
      <c r="H88" s="54">
        <v>3</v>
      </c>
      <c r="I88" s="54">
        <v>2</v>
      </c>
      <c r="J88" s="54">
        <v>44.6</v>
      </c>
      <c r="K88" s="54">
        <v>43.6</v>
      </c>
      <c r="L88" s="54">
        <v>26.7</v>
      </c>
      <c r="M88" s="54">
        <v>2016</v>
      </c>
      <c r="N88" s="55">
        <f t="shared" si="38"/>
        <v>1293400</v>
      </c>
      <c r="O88" s="110">
        <v>1276842.1499999999</v>
      </c>
      <c r="P88" s="56">
        <f t="shared" si="24"/>
        <v>16557.850000000093</v>
      </c>
      <c r="Q88" s="57">
        <f t="shared" si="25"/>
        <v>1.2801801453533395E-2</v>
      </c>
      <c r="R88" s="101">
        <f t="shared" si="26"/>
        <v>29000</v>
      </c>
      <c r="S88" s="99">
        <f t="shared" si="27"/>
        <v>28628.74775784753</v>
      </c>
      <c r="T88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88" s="99">
        <v>22200</v>
      </c>
      <c r="V88" s="106">
        <f t="shared" si="28"/>
        <v>990120</v>
      </c>
      <c r="W88" s="100">
        <f t="shared" si="31"/>
        <v>0.22455567432513091</v>
      </c>
      <c r="X88" s="102">
        <f t="shared" si="32"/>
        <v>-286722.14999999991</v>
      </c>
      <c r="Y88" s="123">
        <v>1293400</v>
      </c>
      <c r="Z88" s="123">
        <v>988780.78942857147</v>
      </c>
      <c r="AA88" s="123">
        <f t="shared" si="33"/>
        <v>22169.972857142857</v>
      </c>
      <c r="AB88" s="123">
        <v>1193400</v>
      </c>
      <c r="AC88" s="123">
        <f t="shared" si="37"/>
        <v>26757.847533632284</v>
      </c>
      <c r="AD88" s="128">
        <f t="shared" si="23"/>
        <v>990120</v>
      </c>
      <c r="AE88" s="123">
        <v>22200</v>
      </c>
      <c r="AF88" s="123">
        <f t="shared" si="34"/>
        <v>-286722.14999999991</v>
      </c>
      <c r="AG88" s="115"/>
      <c r="AH88" s="115"/>
      <c r="AI88" s="115"/>
      <c r="AJ88" s="115"/>
      <c r="AK88" s="115"/>
      <c r="AL88" s="115"/>
    </row>
    <row r="89" spans="1:39" x14ac:dyDescent="0.25">
      <c r="A89" s="113">
        <v>85</v>
      </c>
      <c r="B89" s="53" t="s">
        <v>528</v>
      </c>
      <c r="C89" s="60" t="s">
        <v>529</v>
      </c>
      <c r="D89" s="54">
        <v>29</v>
      </c>
      <c r="E89" s="54">
        <v>29</v>
      </c>
      <c r="F89" s="54">
        <v>29</v>
      </c>
      <c r="G89" s="54" t="s">
        <v>487</v>
      </c>
      <c r="H89" s="54">
        <v>3</v>
      </c>
      <c r="I89" s="54">
        <v>2</v>
      </c>
      <c r="J89" s="54">
        <v>44.6</v>
      </c>
      <c r="K89" s="54">
        <v>43.6</v>
      </c>
      <c r="L89" s="54">
        <v>26.7</v>
      </c>
      <c r="M89" s="54">
        <v>2016</v>
      </c>
      <c r="N89" s="55">
        <f t="shared" si="38"/>
        <v>1293400</v>
      </c>
      <c r="O89" s="110">
        <v>1298040.8600000001</v>
      </c>
      <c r="P89" s="56">
        <f t="shared" si="24"/>
        <v>-4640.8600000001024</v>
      </c>
      <c r="Q89" s="57">
        <f t="shared" si="25"/>
        <v>0</v>
      </c>
      <c r="R89" s="101">
        <f t="shared" si="26"/>
        <v>29000</v>
      </c>
      <c r="S89" s="99">
        <f t="shared" si="27"/>
        <v>29000</v>
      </c>
      <c r="T89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89" s="99">
        <v>22200</v>
      </c>
      <c r="V89" s="106">
        <f t="shared" si="28"/>
        <v>990120</v>
      </c>
      <c r="W89" s="100">
        <f t="shared" si="31"/>
        <v>0.2372196973830239</v>
      </c>
      <c r="X89" s="102">
        <f t="shared" si="32"/>
        <v>-307920.8600000001</v>
      </c>
      <c r="Y89" s="123">
        <v>1293400</v>
      </c>
      <c r="Z89" s="123">
        <v>988780.78942857147</v>
      </c>
      <c r="AA89" s="123">
        <f t="shared" si="33"/>
        <v>22169.972857142857</v>
      </c>
      <c r="AB89" s="123">
        <v>1193400</v>
      </c>
      <c r="AC89" s="123">
        <f t="shared" si="37"/>
        <v>26757.847533632284</v>
      </c>
      <c r="AD89" s="128">
        <f t="shared" si="23"/>
        <v>990120</v>
      </c>
      <c r="AE89" s="123">
        <v>22200</v>
      </c>
      <c r="AF89" s="123">
        <f t="shared" si="34"/>
        <v>-307920.8600000001</v>
      </c>
      <c r="AG89" s="115"/>
      <c r="AH89" s="115"/>
      <c r="AI89" s="115"/>
      <c r="AJ89" s="115"/>
      <c r="AK89" s="115"/>
      <c r="AL89" s="115"/>
    </row>
    <row r="90" spans="1:39" x14ac:dyDescent="0.25">
      <c r="A90" s="113">
        <v>86</v>
      </c>
      <c r="B90" s="53" t="s">
        <v>528</v>
      </c>
      <c r="C90" s="60" t="s">
        <v>530</v>
      </c>
      <c r="D90" s="54">
        <v>11</v>
      </c>
      <c r="E90" s="54">
        <v>11</v>
      </c>
      <c r="F90" s="54">
        <v>11</v>
      </c>
      <c r="G90" s="54" t="s">
        <v>487</v>
      </c>
      <c r="H90" s="54">
        <v>3</v>
      </c>
      <c r="I90" s="54">
        <v>2</v>
      </c>
      <c r="J90" s="54">
        <v>49</v>
      </c>
      <c r="K90" s="54">
        <v>47.7</v>
      </c>
      <c r="L90" s="54">
        <v>25.2</v>
      </c>
      <c r="M90" s="54">
        <v>2016</v>
      </c>
      <c r="N90" s="55">
        <f t="shared" si="38"/>
        <v>1421000</v>
      </c>
      <c r="O90" s="110">
        <v>1329043.07</v>
      </c>
      <c r="P90" s="56">
        <f t="shared" si="24"/>
        <v>91956.929999999935</v>
      </c>
      <c r="Q90" s="57">
        <f t="shared" si="25"/>
        <v>6.4712828993666385E-2</v>
      </c>
      <c r="R90" s="101">
        <f t="shared" si="26"/>
        <v>29000</v>
      </c>
      <c r="S90" s="99">
        <f t="shared" si="27"/>
        <v>27123.327959183676</v>
      </c>
      <c r="T90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90" s="99">
        <v>22200</v>
      </c>
      <c r="V90" s="106">
        <f t="shared" si="28"/>
        <v>1087800</v>
      </c>
      <c r="W90" s="100">
        <f t="shared" si="31"/>
        <v>0.18151636726114531</v>
      </c>
      <c r="X90" s="102">
        <f t="shared" si="32"/>
        <v>-241243.07000000007</v>
      </c>
      <c r="Y90" s="123">
        <v>1421000</v>
      </c>
      <c r="Z90" s="123">
        <v>1086328.67</v>
      </c>
      <c r="AA90" s="123">
        <f t="shared" si="33"/>
        <v>22169.972857142857</v>
      </c>
      <c r="AB90" s="123">
        <v>1321000</v>
      </c>
      <c r="AC90" s="123">
        <f t="shared" si="37"/>
        <v>26959.183673469386</v>
      </c>
      <c r="AD90" s="128">
        <f t="shared" si="23"/>
        <v>1087800</v>
      </c>
      <c r="AE90" s="123">
        <v>22200</v>
      </c>
      <c r="AF90" s="123">
        <f t="shared" si="34"/>
        <v>-241243.07000000007</v>
      </c>
      <c r="AG90" s="115"/>
      <c r="AH90" s="115"/>
      <c r="AI90" s="115"/>
      <c r="AJ90" s="115"/>
      <c r="AK90" s="115"/>
      <c r="AL90" s="115"/>
    </row>
    <row r="91" spans="1:39" x14ac:dyDescent="0.25">
      <c r="A91" s="113">
        <v>87</v>
      </c>
      <c r="B91" s="53" t="s">
        <v>528</v>
      </c>
      <c r="C91" s="60" t="s">
        <v>530</v>
      </c>
      <c r="D91" s="54"/>
      <c r="E91" s="54">
        <v>22</v>
      </c>
      <c r="F91" s="54">
        <v>22</v>
      </c>
      <c r="G91" s="54"/>
      <c r="H91" s="54">
        <v>3</v>
      </c>
      <c r="I91" s="54">
        <v>2</v>
      </c>
      <c r="J91" s="54">
        <v>48.4</v>
      </c>
      <c r="K91" s="54">
        <v>47.1</v>
      </c>
      <c r="L91" s="54">
        <v>25.2</v>
      </c>
      <c r="M91" s="54">
        <v>2016</v>
      </c>
      <c r="N91" s="55">
        <f t="shared" si="38"/>
        <v>1403600</v>
      </c>
      <c r="O91" s="110">
        <v>1336043.07</v>
      </c>
      <c r="P91" s="56">
        <f t="shared" si="24"/>
        <v>67556.929999999935</v>
      </c>
      <c r="Q91" s="57">
        <f t="shared" si="25"/>
        <v>4.8131184098033582E-2</v>
      </c>
      <c r="R91" s="101">
        <f t="shared" si="26"/>
        <v>29000</v>
      </c>
      <c r="S91" s="99">
        <f t="shared" si="27"/>
        <v>27604.195661157028</v>
      </c>
      <c r="T91" s="99">
        <f>GETPIVOTDATA("Среднее по полю Удельная цена сделки/ предложения, руб./кв.м.",'Росреестр анализ'!$A$3,"Город / Нас.пункт","Бакалы")</f>
        <v>22169.972857142857</v>
      </c>
      <c r="U91" s="99">
        <v>22200</v>
      </c>
      <c r="V91" s="106">
        <f t="shared" si="28"/>
        <v>1074480</v>
      </c>
      <c r="W91" s="100">
        <f t="shared" si="31"/>
        <v>0.19577442963721225</v>
      </c>
      <c r="X91" s="102">
        <f t="shared" si="32"/>
        <v>-261563.07000000007</v>
      </c>
      <c r="Y91" s="123">
        <v>1403600</v>
      </c>
      <c r="Z91" s="123">
        <v>1073026.6862857142</v>
      </c>
      <c r="AA91" s="123">
        <f t="shared" si="33"/>
        <v>22169.972857142857</v>
      </c>
      <c r="AB91" s="123">
        <v>1303600</v>
      </c>
      <c r="AC91" s="123">
        <f t="shared" si="37"/>
        <v>26933.884297520661</v>
      </c>
      <c r="AD91" s="128">
        <f t="shared" si="23"/>
        <v>1074480</v>
      </c>
      <c r="AE91" s="123">
        <v>22200</v>
      </c>
      <c r="AF91" s="123">
        <f t="shared" si="34"/>
        <v>-261563.07000000007</v>
      </c>
      <c r="AG91" s="115"/>
      <c r="AH91" s="115"/>
      <c r="AI91" s="115"/>
      <c r="AJ91" s="115"/>
      <c r="AK91" s="115"/>
      <c r="AL91" s="115"/>
    </row>
    <row r="92" spans="1:39" x14ac:dyDescent="0.25">
      <c r="A92" s="113">
        <v>88</v>
      </c>
      <c r="B92" s="53" t="s">
        <v>531</v>
      </c>
      <c r="C92" s="60" t="s">
        <v>532</v>
      </c>
      <c r="D92" s="54">
        <v>11</v>
      </c>
      <c r="E92" s="54">
        <v>11</v>
      </c>
      <c r="F92" s="54">
        <v>11</v>
      </c>
      <c r="G92" s="54" t="s">
        <v>487</v>
      </c>
      <c r="H92" s="54">
        <v>2</v>
      </c>
      <c r="I92" s="54">
        <v>1</v>
      </c>
      <c r="J92" s="54">
        <v>32.200000000000003</v>
      </c>
      <c r="K92" s="54">
        <v>32.200000000000003</v>
      </c>
      <c r="L92" s="54">
        <v>15.1</v>
      </c>
      <c r="M92" s="54">
        <v>2016</v>
      </c>
      <c r="N92" s="55">
        <f>J92*30000</f>
        <v>966000.00000000012</v>
      </c>
      <c r="O92" s="110">
        <v>956129.53</v>
      </c>
      <c r="P92" s="56">
        <f t="shared" si="24"/>
        <v>9870.4700000000885</v>
      </c>
      <c r="Q92" s="57">
        <f t="shared" si="25"/>
        <v>1.0217877846790981E-2</v>
      </c>
      <c r="R92" s="101">
        <f t="shared" si="26"/>
        <v>30000</v>
      </c>
      <c r="S92" s="99">
        <f t="shared" si="27"/>
        <v>29693.463664596271</v>
      </c>
      <c r="T92" s="99"/>
      <c r="U92" s="99">
        <v>0</v>
      </c>
      <c r="V92" s="106">
        <f t="shared" si="28"/>
        <v>0</v>
      </c>
      <c r="W92" s="100">
        <f t="shared" si="31"/>
        <v>0</v>
      </c>
      <c r="X92" s="102">
        <f t="shared" si="32"/>
        <v>0</v>
      </c>
      <c r="Y92" s="123">
        <v>971635.00000000012</v>
      </c>
      <c r="Z92" s="123"/>
      <c r="AA92" s="123">
        <f t="shared" si="33"/>
        <v>0</v>
      </c>
      <c r="AB92" s="123"/>
      <c r="AC92" s="123">
        <f t="shared" si="37"/>
        <v>0</v>
      </c>
      <c r="AD92" s="128">
        <f t="shared" si="23"/>
        <v>966000.00000000012</v>
      </c>
      <c r="AE92" s="123">
        <v>30000</v>
      </c>
      <c r="AF92" s="123">
        <f t="shared" si="34"/>
        <v>9870.4700000000885</v>
      </c>
      <c r="AG92" s="115"/>
      <c r="AH92" s="115"/>
      <c r="AI92" s="115"/>
      <c r="AJ92" s="115"/>
      <c r="AK92" s="115"/>
      <c r="AL92" s="115"/>
    </row>
    <row r="93" spans="1:39" x14ac:dyDescent="0.25">
      <c r="A93" s="113">
        <v>89</v>
      </c>
      <c r="B93" s="53" t="s">
        <v>533</v>
      </c>
      <c r="C93" s="60" t="s">
        <v>525</v>
      </c>
      <c r="D93" s="54">
        <v>16</v>
      </c>
      <c r="E93" s="54">
        <v>16</v>
      </c>
      <c r="F93" s="54">
        <v>16</v>
      </c>
      <c r="G93" s="54" t="s">
        <v>487</v>
      </c>
      <c r="H93" s="54">
        <v>1</v>
      </c>
      <c r="I93" s="54">
        <v>1</v>
      </c>
      <c r="J93" s="54">
        <v>31.4</v>
      </c>
      <c r="K93" s="54">
        <v>31.4</v>
      </c>
      <c r="L93" s="54">
        <v>18.399999999999999</v>
      </c>
      <c r="M93" s="54">
        <v>2016</v>
      </c>
      <c r="N93" s="55">
        <f>J93*29300</f>
        <v>920020</v>
      </c>
      <c r="O93" s="110">
        <f>J93*29401</f>
        <v>923191.39999999991</v>
      </c>
      <c r="P93" s="56">
        <f t="shared" si="24"/>
        <v>-3171.3999999999069</v>
      </c>
      <c r="Q93" s="57">
        <f t="shared" si="25"/>
        <v>0</v>
      </c>
      <c r="R93" s="101">
        <f t="shared" si="26"/>
        <v>29300</v>
      </c>
      <c r="S93" s="99">
        <f t="shared" si="27"/>
        <v>29300</v>
      </c>
      <c r="T93" s="99">
        <v>0</v>
      </c>
      <c r="U93" s="99">
        <v>0</v>
      </c>
      <c r="V93" s="106">
        <f t="shared" si="28"/>
        <v>0</v>
      </c>
      <c r="W93" s="100">
        <f t="shared" si="31"/>
        <v>0</v>
      </c>
      <c r="X93" s="102">
        <f t="shared" si="32"/>
        <v>0</v>
      </c>
      <c r="Y93" s="123">
        <v>885480</v>
      </c>
      <c r="Z93" s="123"/>
      <c r="AA93" s="123">
        <f t="shared" si="33"/>
        <v>0</v>
      </c>
      <c r="AB93" s="123"/>
      <c r="AC93" s="123">
        <f t="shared" si="37"/>
        <v>0</v>
      </c>
      <c r="AD93" s="128">
        <f t="shared" si="23"/>
        <v>847800</v>
      </c>
      <c r="AE93" s="123">
        <v>27000</v>
      </c>
      <c r="AF93" s="123">
        <f t="shared" si="34"/>
        <v>-75391.399999999907</v>
      </c>
      <c r="AG93" s="115"/>
      <c r="AH93" s="115"/>
      <c r="AI93" s="115"/>
      <c r="AJ93" s="115"/>
      <c r="AK93" s="115"/>
      <c r="AL93" s="115"/>
    </row>
    <row r="94" spans="1:39" x14ac:dyDescent="0.25">
      <c r="A94" s="113">
        <v>90</v>
      </c>
      <c r="B94" s="53" t="s">
        <v>534</v>
      </c>
      <c r="C94" s="60" t="s">
        <v>535</v>
      </c>
      <c r="D94" s="54">
        <v>8</v>
      </c>
      <c r="E94" s="54">
        <v>8</v>
      </c>
      <c r="F94" s="54">
        <v>8</v>
      </c>
      <c r="G94" s="54" t="s">
        <v>487</v>
      </c>
      <c r="H94" s="54">
        <v>2</v>
      </c>
      <c r="I94" s="54">
        <v>2</v>
      </c>
      <c r="J94" s="54">
        <v>47</v>
      </c>
      <c r="K94" s="54">
        <v>45.6</v>
      </c>
      <c r="L94" s="54">
        <v>25.7</v>
      </c>
      <c r="M94" s="54">
        <v>2016</v>
      </c>
      <c r="N94" s="55">
        <f>J94*32100</f>
        <v>1508700</v>
      </c>
      <c r="O94" s="110">
        <v>1283794.75</v>
      </c>
      <c r="P94" s="56">
        <f t="shared" si="24"/>
        <v>224905.25</v>
      </c>
      <c r="Q94" s="57">
        <f t="shared" si="25"/>
        <v>0.14907221448929542</v>
      </c>
      <c r="R94" s="101">
        <f t="shared" si="26"/>
        <v>32100</v>
      </c>
      <c r="S94" s="99">
        <f t="shared" si="27"/>
        <v>27314.781914893618</v>
      </c>
      <c r="T94" s="99">
        <f>GETPIVOTDATA("Среднее по полю Удельная цена сделки/ предложения, руб./кв.м.",'Росреестр анализ'!$A$3,"Город / Нас.пункт","Сибай")</f>
        <v>25521.341621621636</v>
      </c>
      <c r="U94" s="99">
        <v>26000</v>
      </c>
      <c r="V94" s="106">
        <f t="shared" si="28"/>
        <v>1222000</v>
      </c>
      <c r="W94" s="100">
        <f t="shared" si="31"/>
        <v>4.8134446725226133E-2</v>
      </c>
      <c r="X94" s="102">
        <f t="shared" si="32"/>
        <v>-61794.75</v>
      </c>
      <c r="Y94" s="123">
        <v>1511426</v>
      </c>
      <c r="Z94" s="123">
        <v>1199503.0562162169</v>
      </c>
      <c r="AA94" s="123">
        <f t="shared" si="33"/>
        <v>25521.341621621636</v>
      </c>
      <c r="AB94" s="123">
        <v>1350000</v>
      </c>
      <c r="AC94" s="123">
        <f t="shared" si="37"/>
        <v>28723.40425531915</v>
      </c>
      <c r="AD94" s="128">
        <f t="shared" si="23"/>
        <v>1222000</v>
      </c>
      <c r="AE94" s="123">
        <v>26000</v>
      </c>
      <c r="AF94" s="123">
        <f t="shared" si="34"/>
        <v>-61794.75</v>
      </c>
      <c r="AG94" s="115"/>
      <c r="AH94" s="115"/>
      <c r="AI94" s="115"/>
      <c r="AJ94" s="115"/>
      <c r="AK94" s="115"/>
      <c r="AL94" s="115"/>
    </row>
    <row r="95" spans="1:39" x14ac:dyDescent="0.25">
      <c r="A95" s="113">
        <v>91</v>
      </c>
      <c r="B95" s="53" t="s">
        <v>534</v>
      </c>
      <c r="C95" s="60" t="s">
        <v>535</v>
      </c>
      <c r="D95" s="54">
        <v>17</v>
      </c>
      <c r="E95" s="54">
        <v>17</v>
      </c>
      <c r="F95" s="54">
        <v>17</v>
      </c>
      <c r="G95" s="54" t="s">
        <v>487</v>
      </c>
      <c r="H95" s="54">
        <v>2</v>
      </c>
      <c r="I95" s="54">
        <v>2</v>
      </c>
      <c r="J95" s="54">
        <v>47.1</v>
      </c>
      <c r="K95" s="54">
        <v>45.7</v>
      </c>
      <c r="L95" s="54">
        <v>25.7</v>
      </c>
      <c r="M95" s="54">
        <v>2016</v>
      </c>
      <c r="N95" s="55">
        <f>J95*32100</f>
        <v>1511910</v>
      </c>
      <c r="O95" s="110">
        <v>1283837.73</v>
      </c>
      <c r="P95" s="56">
        <f t="shared" si="24"/>
        <v>228072.27000000002</v>
      </c>
      <c r="Q95" s="57">
        <f t="shared" si="25"/>
        <v>0.15085042760481776</v>
      </c>
      <c r="R95" s="101">
        <f t="shared" si="26"/>
        <v>32100</v>
      </c>
      <c r="S95" s="99">
        <f t="shared" si="27"/>
        <v>27257.701273885348</v>
      </c>
      <c r="T95" s="99">
        <f>GETPIVOTDATA("Среднее по полю Удельная цена сделки/ предложения, руб./кв.м.",'Росреестр анализ'!$A$3,"Город / Нас.пункт","Сибай")</f>
        <v>25521.341621621636</v>
      </c>
      <c r="U95" s="99">
        <v>26000</v>
      </c>
      <c r="V95" s="106">
        <f t="shared" si="28"/>
        <v>1224600</v>
      </c>
      <c r="W95" s="100">
        <f t="shared" si="31"/>
        <v>4.6141134985961181E-2</v>
      </c>
      <c r="X95" s="102">
        <f t="shared" si="32"/>
        <v>-59237.729999999981</v>
      </c>
      <c r="Y95" s="123">
        <v>1514641.8</v>
      </c>
      <c r="Z95" s="123">
        <v>1202055.1903783791</v>
      </c>
      <c r="AA95" s="123">
        <f t="shared" si="33"/>
        <v>25521.341621621636</v>
      </c>
      <c r="AB95" s="123">
        <v>1350000</v>
      </c>
      <c r="AC95" s="123">
        <f t="shared" si="37"/>
        <v>28662.420382165605</v>
      </c>
      <c r="AD95" s="128">
        <f t="shared" si="23"/>
        <v>1224600</v>
      </c>
      <c r="AE95" s="123">
        <v>26000</v>
      </c>
      <c r="AF95" s="123">
        <f t="shared" si="34"/>
        <v>-59237.729999999981</v>
      </c>
      <c r="AG95" s="115"/>
      <c r="AH95" s="115"/>
      <c r="AI95" s="115"/>
      <c r="AJ95" s="115"/>
      <c r="AK95" s="115"/>
      <c r="AL95" s="115"/>
    </row>
    <row r="96" spans="1:39" x14ac:dyDescent="0.25">
      <c r="A96" s="113">
        <v>92</v>
      </c>
      <c r="B96" s="53" t="s">
        <v>534</v>
      </c>
      <c r="C96" s="60" t="s">
        <v>535</v>
      </c>
      <c r="D96" s="54">
        <v>17</v>
      </c>
      <c r="E96" s="54">
        <v>21</v>
      </c>
      <c r="F96" s="54">
        <v>21</v>
      </c>
      <c r="G96" s="54" t="s">
        <v>487</v>
      </c>
      <c r="H96" s="54">
        <v>3</v>
      </c>
      <c r="I96" s="54">
        <v>2</v>
      </c>
      <c r="J96" s="54">
        <v>47.1</v>
      </c>
      <c r="K96" s="54">
        <v>45.7</v>
      </c>
      <c r="L96" s="54">
        <v>25.7</v>
      </c>
      <c r="M96" s="54">
        <v>2016</v>
      </c>
      <c r="N96" s="55">
        <f>J96*32100</f>
        <v>1511910</v>
      </c>
      <c r="O96" s="110">
        <v>1283838.73</v>
      </c>
      <c r="P96" s="56">
        <f>N96-O96</f>
        <v>228071.27000000002</v>
      </c>
      <c r="Q96" s="57">
        <f>IF(P96&gt;0,P96/N96,0)</f>
        <v>0.15084976618978643</v>
      </c>
      <c r="R96" s="101">
        <f>N96/J96</f>
        <v>32100</v>
      </c>
      <c r="S96" s="99">
        <f>IF(P96&gt;0,(N96-P96)/J96,R96)</f>
        <v>27257.722505307855</v>
      </c>
      <c r="T96" s="99">
        <f>GETPIVOTDATA("Среднее по полю Удельная цена сделки/ предложения, руб./кв.м.",'Росреестр анализ'!$A$3,"Город / Нас.пункт","Сибай")</f>
        <v>25521.341621621636</v>
      </c>
      <c r="U96" s="99">
        <v>26001</v>
      </c>
      <c r="V96" s="116"/>
      <c r="W96" s="117">
        <f t="shared" si="31"/>
        <v>4.6105191109166714E-2</v>
      </c>
      <c r="X96" s="118">
        <f t="shared" si="32"/>
        <v>-59191.629999999888</v>
      </c>
      <c r="Y96" s="124">
        <v>1514641.8</v>
      </c>
      <c r="Z96" s="124">
        <v>1202055.1903783791</v>
      </c>
      <c r="AA96" s="123">
        <f t="shared" si="33"/>
        <v>25521.341621621636</v>
      </c>
      <c r="AB96" s="124">
        <v>1350000</v>
      </c>
      <c r="AC96" s="123">
        <f t="shared" si="37"/>
        <v>28662.420382165605</v>
      </c>
      <c r="AD96" s="128"/>
      <c r="AE96" s="124"/>
      <c r="AF96" s="123"/>
      <c r="AG96" s="119"/>
      <c r="AH96" s="119"/>
      <c r="AI96" s="119"/>
      <c r="AJ96" s="119"/>
      <c r="AK96" s="119"/>
      <c r="AL96" s="119"/>
      <c r="AM96" s="50" t="s">
        <v>553</v>
      </c>
    </row>
    <row r="97" spans="1:38" ht="45" x14ac:dyDescent="0.25">
      <c r="A97" s="113">
        <v>93</v>
      </c>
      <c r="B97" s="53" t="s">
        <v>536</v>
      </c>
      <c r="C97" s="60" t="s">
        <v>537</v>
      </c>
      <c r="D97" s="54">
        <v>11</v>
      </c>
      <c r="E97" s="54">
        <v>11</v>
      </c>
      <c r="F97" s="54">
        <v>11</v>
      </c>
      <c r="G97" s="54" t="s">
        <v>487</v>
      </c>
      <c r="H97" s="54">
        <v>1</v>
      </c>
      <c r="I97" s="54">
        <v>1</v>
      </c>
      <c r="J97" s="54">
        <v>28.5</v>
      </c>
      <c r="K97" s="54">
        <v>28.5</v>
      </c>
      <c r="L97" s="54">
        <v>20.6</v>
      </c>
      <c r="M97" s="54">
        <v>2016</v>
      </c>
      <c r="N97" s="55">
        <f>J97*37200</f>
        <v>1060200</v>
      </c>
      <c r="O97" s="110">
        <v>968039.76</v>
      </c>
      <c r="P97" s="56">
        <f t="shared" si="24"/>
        <v>92160.239999999991</v>
      </c>
      <c r="Q97" s="57">
        <f t="shared" si="25"/>
        <v>8.6927221279003958E-2</v>
      </c>
      <c r="R97" s="101">
        <f t="shared" si="26"/>
        <v>37200</v>
      </c>
      <c r="S97" s="99">
        <f t="shared" si="27"/>
        <v>33966.307368421054</v>
      </c>
      <c r="T97" s="99"/>
      <c r="U97" s="99">
        <v>0</v>
      </c>
      <c r="V97" s="106">
        <f t="shared" si="28"/>
        <v>0</v>
      </c>
      <c r="W97" s="100">
        <f t="shared" si="31"/>
        <v>0</v>
      </c>
      <c r="X97" s="102">
        <f t="shared" si="32"/>
        <v>0</v>
      </c>
      <c r="Y97" s="123">
        <v>1060200</v>
      </c>
      <c r="Z97" s="123"/>
      <c r="AA97" s="123">
        <f t="shared" si="33"/>
        <v>0</v>
      </c>
      <c r="AB97" s="123"/>
      <c r="AC97" s="123">
        <f t="shared" si="37"/>
        <v>0</v>
      </c>
      <c r="AD97" s="128">
        <f t="shared" ref="AD97:AD119" si="39">AE97*J97</f>
        <v>968031</v>
      </c>
      <c r="AE97" s="123">
        <v>33966</v>
      </c>
      <c r="AF97" s="123">
        <f t="shared" ref="AF97:AF119" si="40">AD97-O97</f>
        <v>-8.7600000000093132</v>
      </c>
      <c r="AG97" s="115"/>
      <c r="AH97" s="115"/>
      <c r="AI97" s="115"/>
      <c r="AJ97" s="115"/>
      <c r="AK97" s="115"/>
      <c r="AL97" s="115"/>
    </row>
    <row r="98" spans="1:38" x14ac:dyDescent="0.25">
      <c r="A98" s="113">
        <v>94</v>
      </c>
      <c r="B98" s="53" t="s">
        <v>538</v>
      </c>
      <c r="C98" s="60" t="s">
        <v>539</v>
      </c>
      <c r="D98" s="54">
        <v>28</v>
      </c>
      <c r="E98" s="54">
        <v>28</v>
      </c>
      <c r="F98" s="54">
        <v>28</v>
      </c>
      <c r="G98" s="54" t="s">
        <v>487</v>
      </c>
      <c r="H98" s="54">
        <v>5</v>
      </c>
      <c r="I98" s="54">
        <v>3</v>
      </c>
      <c r="J98" s="54">
        <v>58</v>
      </c>
      <c r="K98" s="54">
        <v>54.5</v>
      </c>
      <c r="L98" s="54">
        <v>37.4</v>
      </c>
      <c r="M98" s="54">
        <v>2016</v>
      </c>
      <c r="N98" s="55">
        <f>J98*32000</f>
        <v>1856000</v>
      </c>
      <c r="O98" s="110">
        <v>1705835.23</v>
      </c>
      <c r="P98" s="56">
        <f t="shared" si="24"/>
        <v>150164.77000000002</v>
      </c>
      <c r="Q98" s="57">
        <f t="shared" si="25"/>
        <v>8.0907742456896567E-2</v>
      </c>
      <c r="R98" s="101">
        <f t="shared" si="26"/>
        <v>32000</v>
      </c>
      <c r="S98" s="99">
        <f t="shared" si="27"/>
        <v>29410.952241379309</v>
      </c>
      <c r="T98" s="99">
        <f>GETPIVOTDATA("Среднее по полю Удельная цена сделки/ предложения, руб./кв.м.",'Росреестр анализ'!$A$3,"Город / Нас.пункт","Дюртюли")</f>
        <v>30896.43037037037</v>
      </c>
      <c r="U98" s="99">
        <v>28000</v>
      </c>
      <c r="V98" s="106">
        <f t="shared" si="28"/>
        <v>1624000</v>
      </c>
      <c r="W98" s="100">
        <f t="shared" si="31"/>
        <v>4.7973701422499043E-2</v>
      </c>
      <c r="X98" s="102">
        <f t="shared" si="32"/>
        <v>-81835.229999999981</v>
      </c>
      <c r="Y98" s="123">
        <v>1885000</v>
      </c>
      <c r="Z98" s="123">
        <v>1791992.9614814816</v>
      </c>
      <c r="AA98" s="123">
        <f t="shared" si="33"/>
        <v>30896.43037037037</v>
      </c>
      <c r="AB98" s="123"/>
      <c r="AC98" s="123">
        <f t="shared" si="37"/>
        <v>0</v>
      </c>
      <c r="AD98" s="128">
        <f t="shared" si="39"/>
        <v>1624000</v>
      </c>
      <c r="AE98" s="123">
        <v>28000</v>
      </c>
      <c r="AF98" s="123">
        <f t="shared" si="40"/>
        <v>-81835.229999999981</v>
      </c>
      <c r="AG98" s="115"/>
      <c r="AH98" s="115"/>
      <c r="AI98" s="115"/>
      <c r="AJ98" s="115"/>
      <c r="AK98" s="115"/>
      <c r="AL98" s="115"/>
    </row>
    <row r="99" spans="1:38" x14ac:dyDescent="0.25">
      <c r="A99" s="113">
        <v>95</v>
      </c>
      <c r="B99" s="53" t="s">
        <v>488</v>
      </c>
      <c r="C99" s="60" t="s">
        <v>540</v>
      </c>
      <c r="D99" s="54">
        <v>2</v>
      </c>
      <c r="E99" s="54">
        <v>2</v>
      </c>
      <c r="F99" s="54">
        <v>2</v>
      </c>
      <c r="G99" s="54" t="s">
        <v>487</v>
      </c>
      <c r="H99" s="54">
        <v>1</v>
      </c>
      <c r="I99" s="54">
        <v>1</v>
      </c>
      <c r="J99" s="54">
        <v>35.700000000000003</v>
      </c>
      <c r="K99" s="54">
        <v>34</v>
      </c>
      <c r="L99" s="54">
        <v>14</v>
      </c>
      <c r="M99" s="54">
        <v>2016</v>
      </c>
      <c r="N99" s="55">
        <f>J99*32000</f>
        <v>1142400</v>
      </c>
      <c r="O99" s="110">
        <v>1019704.61</v>
      </c>
      <c r="P99" s="56">
        <f t="shared" si="24"/>
        <v>122695.39000000001</v>
      </c>
      <c r="Q99" s="57">
        <f t="shared" si="25"/>
        <v>0.1074014268207283</v>
      </c>
      <c r="R99" s="101">
        <f t="shared" si="26"/>
        <v>31999.999999999996</v>
      </c>
      <c r="S99" s="99">
        <f t="shared" si="27"/>
        <v>28563.154341736692</v>
      </c>
      <c r="T99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99" s="99">
        <v>24000</v>
      </c>
      <c r="V99" s="106">
        <f t="shared" si="28"/>
        <v>856800.00000000012</v>
      </c>
      <c r="W99" s="100">
        <f t="shared" si="31"/>
        <v>0.15975666717835066</v>
      </c>
      <c r="X99" s="102">
        <f t="shared" si="32"/>
        <v>-162904.60999999987</v>
      </c>
      <c r="Y99" s="123">
        <v>1142400</v>
      </c>
      <c r="Z99" s="123">
        <v>838330.81206000003</v>
      </c>
      <c r="AA99" s="123">
        <f t="shared" si="33"/>
        <v>23482.6558</v>
      </c>
      <c r="AB99" s="123">
        <v>963900</v>
      </c>
      <c r="AC99" s="123">
        <f t="shared" si="37"/>
        <v>26999.999999999996</v>
      </c>
      <c r="AD99" s="128">
        <f t="shared" si="39"/>
        <v>856800.00000000012</v>
      </c>
      <c r="AE99" s="123">
        <v>24000</v>
      </c>
      <c r="AF99" s="123">
        <f t="shared" si="40"/>
        <v>-162904.60999999987</v>
      </c>
      <c r="AG99" s="115"/>
      <c r="AH99" s="115"/>
      <c r="AI99" s="115"/>
      <c r="AJ99" s="115"/>
      <c r="AK99" s="115"/>
      <c r="AL99" s="115"/>
    </row>
    <row r="100" spans="1:38" x14ac:dyDescent="0.25">
      <c r="A100" s="113">
        <v>96</v>
      </c>
      <c r="B100" s="53" t="s">
        <v>488</v>
      </c>
      <c r="C100" s="60" t="s">
        <v>540</v>
      </c>
      <c r="D100" s="54">
        <v>8</v>
      </c>
      <c r="E100" s="54">
        <v>8</v>
      </c>
      <c r="F100" s="54">
        <v>8</v>
      </c>
      <c r="G100" s="54" t="s">
        <v>487</v>
      </c>
      <c r="H100" s="54">
        <v>2</v>
      </c>
      <c r="I100" s="54">
        <v>2</v>
      </c>
      <c r="J100" s="54">
        <v>50.8</v>
      </c>
      <c r="K100" s="54">
        <v>49.1</v>
      </c>
      <c r="L100" s="54">
        <v>28.8</v>
      </c>
      <c r="M100" s="54">
        <v>2016</v>
      </c>
      <c r="N100" s="55">
        <f t="shared" ref="N100:N107" si="41">J100*32000</f>
        <v>1625600</v>
      </c>
      <c r="O100" s="110">
        <v>1449121.13</v>
      </c>
      <c r="P100" s="56">
        <f t="shared" si="24"/>
        <v>176478.87000000011</v>
      </c>
      <c r="Q100" s="57">
        <f t="shared" si="25"/>
        <v>0.10856229699803156</v>
      </c>
      <c r="R100" s="101">
        <f t="shared" si="26"/>
        <v>32000</v>
      </c>
      <c r="S100" s="99">
        <f t="shared" si="27"/>
        <v>28526.00649606299</v>
      </c>
      <c r="T100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0" s="99">
        <v>23200</v>
      </c>
      <c r="V100" s="106">
        <f t="shared" si="28"/>
        <v>1178560</v>
      </c>
      <c r="W100" s="100">
        <f t="shared" si="31"/>
        <v>0.18670704912017941</v>
      </c>
      <c r="X100" s="102">
        <f t="shared" si="32"/>
        <v>-270561.12999999989</v>
      </c>
      <c r="Y100" s="123">
        <v>1625600</v>
      </c>
      <c r="Z100" s="123">
        <v>1192918.9146399999</v>
      </c>
      <c r="AA100" s="123">
        <f t="shared" si="33"/>
        <v>23482.655799999997</v>
      </c>
      <c r="AB100" s="123">
        <v>1320800</v>
      </c>
      <c r="AC100" s="123">
        <f t="shared" si="37"/>
        <v>26000</v>
      </c>
      <c r="AD100" s="128">
        <f t="shared" si="39"/>
        <v>1219200</v>
      </c>
      <c r="AE100" s="123">
        <v>24000</v>
      </c>
      <c r="AF100" s="123">
        <f t="shared" si="40"/>
        <v>-229921.12999999989</v>
      </c>
      <c r="AG100" s="115"/>
      <c r="AH100" s="115"/>
      <c r="AI100" s="115"/>
      <c r="AJ100" s="115"/>
      <c r="AK100" s="115"/>
      <c r="AL100" s="115"/>
    </row>
    <row r="101" spans="1:38" x14ac:dyDescent="0.25">
      <c r="A101" s="113">
        <v>97</v>
      </c>
      <c r="B101" s="53" t="s">
        <v>488</v>
      </c>
      <c r="C101" s="60" t="s">
        <v>540</v>
      </c>
      <c r="D101" s="54">
        <v>12</v>
      </c>
      <c r="E101" s="54">
        <v>12</v>
      </c>
      <c r="F101" s="54">
        <v>12</v>
      </c>
      <c r="G101" s="54" t="s">
        <v>487</v>
      </c>
      <c r="H101" s="54">
        <v>3</v>
      </c>
      <c r="I101" s="54">
        <v>2</v>
      </c>
      <c r="J101" s="54">
        <v>50.6</v>
      </c>
      <c r="K101" s="54">
        <v>48.9</v>
      </c>
      <c r="L101" s="54">
        <v>28.7</v>
      </c>
      <c r="M101" s="54">
        <v>2016</v>
      </c>
      <c r="N101" s="55">
        <f t="shared" si="41"/>
        <v>1619200</v>
      </c>
      <c r="O101" s="110">
        <v>1449121.13</v>
      </c>
      <c r="P101" s="56">
        <f t="shared" si="24"/>
        <v>170078.87000000011</v>
      </c>
      <c r="Q101" s="57">
        <f t="shared" si="25"/>
        <v>0.1050388278162056</v>
      </c>
      <c r="R101" s="101">
        <f t="shared" si="26"/>
        <v>32000</v>
      </c>
      <c r="S101" s="99">
        <f t="shared" si="27"/>
        <v>28638.75750988142</v>
      </c>
      <c r="T101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1" s="99">
        <v>23200</v>
      </c>
      <c r="V101" s="106">
        <f t="shared" si="28"/>
        <v>1173920</v>
      </c>
      <c r="W101" s="100">
        <f t="shared" ref="W101:W119" si="42">IF(U101&gt;0,(O101-J101*U101)/O101,0)</f>
        <v>0.18990898987167479</v>
      </c>
      <c r="X101" s="102">
        <f t="shared" ref="X101:X119" si="43">IF(U101&gt;0,J101*U101-O101,0)</f>
        <v>-275201.12999999989</v>
      </c>
      <c r="Y101" s="123">
        <v>1619200</v>
      </c>
      <c r="Z101" s="123">
        <v>1188222.3834800001</v>
      </c>
      <c r="AA101" s="123">
        <f t="shared" ref="AA101:AA119" si="44">Z101/J101</f>
        <v>23482.6558</v>
      </c>
      <c r="AB101" s="123">
        <v>1315600</v>
      </c>
      <c r="AC101" s="123">
        <f t="shared" si="37"/>
        <v>26000</v>
      </c>
      <c r="AD101" s="128">
        <f t="shared" si="39"/>
        <v>1214400</v>
      </c>
      <c r="AE101" s="123">
        <v>24000</v>
      </c>
      <c r="AF101" s="123">
        <f t="shared" si="40"/>
        <v>-234721.12999999989</v>
      </c>
      <c r="AG101" s="115"/>
      <c r="AH101" s="115"/>
      <c r="AI101" s="115"/>
      <c r="AJ101" s="115"/>
      <c r="AK101" s="115"/>
      <c r="AL101" s="115"/>
    </row>
    <row r="102" spans="1:38" x14ac:dyDescent="0.25">
      <c r="A102" s="113">
        <v>98</v>
      </c>
      <c r="B102" s="53" t="s">
        <v>488</v>
      </c>
      <c r="C102" s="60" t="s">
        <v>540</v>
      </c>
      <c r="D102" s="54">
        <v>13</v>
      </c>
      <c r="E102" s="54">
        <v>13</v>
      </c>
      <c r="F102" s="54">
        <v>13</v>
      </c>
      <c r="G102" s="54" t="s">
        <v>487</v>
      </c>
      <c r="H102" s="54">
        <v>1</v>
      </c>
      <c r="I102" s="54">
        <v>2</v>
      </c>
      <c r="J102" s="54">
        <v>50.6</v>
      </c>
      <c r="K102" s="54">
        <v>48.9</v>
      </c>
      <c r="L102" s="54">
        <v>28.8</v>
      </c>
      <c r="M102" s="54">
        <v>2016</v>
      </c>
      <c r="N102" s="55">
        <f t="shared" si="41"/>
        <v>1619200</v>
      </c>
      <c r="O102" s="110">
        <v>1449121.13</v>
      </c>
      <c r="P102" s="56">
        <f t="shared" si="24"/>
        <v>170078.87000000011</v>
      </c>
      <c r="Q102" s="57">
        <f t="shared" si="25"/>
        <v>0.1050388278162056</v>
      </c>
      <c r="R102" s="101">
        <f t="shared" si="26"/>
        <v>32000</v>
      </c>
      <c r="S102" s="99">
        <f t="shared" si="27"/>
        <v>28638.75750988142</v>
      </c>
      <c r="T102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2" s="99">
        <v>23200</v>
      </c>
      <c r="V102" s="106">
        <f t="shared" si="28"/>
        <v>1173920</v>
      </c>
      <c r="W102" s="100">
        <f t="shared" si="42"/>
        <v>0.18990898987167479</v>
      </c>
      <c r="X102" s="102">
        <f t="shared" si="43"/>
        <v>-275201.12999999989</v>
      </c>
      <c r="Y102" s="123">
        <v>1619200</v>
      </c>
      <c r="Z102" s="123">
        <v>1188222.3834800001</v>
      </c>
      <c r="AA102" s="123">
        <f t="shared" si="44"/>
        <v>23482.6558</v>
      </c>
      <c r="AB102" s="123">
        <v>1315600</v>
      </c>
      <c r="AC102" s="123">
        <f t="shared" si="37"/>
        <v>26000</v>
      </c>
      <c r="AD102" s="128">
        <f t="shared" si="39"/>
        <v>1214400</v>
      </c>
      <c r="AE102" s="123">
        <v>24000</v>
      </c>
      <c r="AF102" s="123">
        <f t="shared" si="40"/>
        <v>-234721.12999999989</v>
      </c>
      <c r="AG102" s="115"/>
      <c r="AH102" s="115"/>
      <c r="AI102" s="115"/>
      <c r="AJ102" s="115"/>
      <c r="AK102" s="115"/>
      <c r="AL102" s="115"/>
    </row>
    <row r="103" spans="1:38" x14ac:dyDescent="0.25">
      <c r="A103" s="113">
        <v>99</v>
      </c>
      <c r="B103" s="53" t="s">
        <v>488</v>
      </c>
      <c r="C103" s="60" t="s">
        <v>540</v>
      </c>
      <c r="D103" s="54">
        <v>15</v>
      </c>
      <c r="E103" s="54">
        <v>15</v>
      </c>
      <c r="F103" s="54">
        <v>15</v>
      </c>
      <c r="G103" s="54" t="s">
        <v>487</v>
      </c>
      <c r="H103" s="54">
        <v>1</v>
      </c>
      <c r="I103" s="54">
        <v>1</v>
      </c>
      <c r="J103" s="54">
        <v>34.9</v>
      </c>
      <c r="K103" s="54">
        <v>33.200000000000003</v>
      </c>
      <c r="L103" s="54">
        <v>14</v>
      </c>
      <c r="M103" s="54">
        <v>2016</v>
      </c>
      <c r="N103" s="55">
        <f t="shared" si="41"/>
        <v>1116800</v>
      </c>
      <c r="O103" s="110">
        <v>1019704.61</v>
      </c>
      <c r="P103" s="56">
        <f t="shared" si="24"/>
        <v>97095.390000000014</v>
      </c>
      <c r="Q103" s="57">
        <f t="shared" si="25"/>
        <v>8.6940714541547295E-2</v>
      </c>
      <c r="R103" s="101">
        <f t="shared" si="26"/>
        <v>32000</v>
      </c>
      <c r="S103" s="99">
        <f t="shared" si="27"/>
        <v>29217.897134670489</v>
      </c>
      <c r="T103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3" s="99">
        <v>23200</v>
      </c>
      <c r="V103" s="106">
        <f t="shared" si="28"/>
        <v>809680</v>
      </c>
      <c r="W103" s="100">
        <f t="shared" si="42"/>
        <v>0.20596612777890647</v>
      </c>
      <c r="X103" s="102">
        <f t="shared" si="43"/>
        <v>-210024.61</v>
      </c>
      <c r="Y103" s="123">
        <v>1116800</v>
      </c>
      <c r="Z103" s="123">
        <v>819544.68741999997</v>
      </c>
      <c r="AA103" s="123">
        <f t="shared" si="44"/>
        <v>23482.6558</v>
      </c>
      <c r="AB103" s="123">
        <v>942300</v>
      </c>
      <c r="AC103" s="123">
        <f t="shared" si="37"/>
        <v>27000</v>
      </c>
      <c r="AD103" s="128">
        <f t="shared" si="39"/>
        <v>837600</v>
      </c>
      <c r="AE103" s="123">
        <v>24000</v>
      </c>
      <c r="AF103" s="123">
        <f t="shared" si="40"/>
        <v>-182104.61</v>
      </c>
      <c r="AG103" s="115"/>
      <c r="AH103" s="115"/>
      <c r="AI103" s="115"/>
      <c r="AJ103" s="115"/>
      <c r="AK103" s="115"/>
      <c r="AL103" s="115"/>
    </row>
    <row r="104" spans="1:38" x14ac:dyDescent="0.25">
      <c r="A104" s="113">
        <v>100</v>
      </c>
      <c r="B104" s="53" t="s">
        <v>488</v>
      </c>
      <c r="C104" s="60" t="s">
        <v>540</v>
      </c>
      <c r="D104" s="54">
        <v>19</v>
      </c>
      <c r="E104" s="54">
        <v>19</v>
      </c>
      <c r="F104" s="54">
        <v>19</v>
      </c>
      <c r="G104" s="54" t="s">
        <v>487</v>
      </c>
      <c r="H104" s="54">
        <v>2</v>
      </c>
      <c r="I104" s="54">
        <v>1</v>
      </c>
      <c r="J104" s="54">
        <v>34.9</v>
      </c>
      <c r="K104" s="54">
        <v>33.200000000000003</v>
      </c>
      <c r="L104" s="54">
        <v>14</v>
      </c>
      <c r="M104" s="54">
        <v>2016</v>
      </c>
      <c r="N104" s="55">
        <f t="shared" si="41"/>
        <v>1116800</v>
      </c>
      <c r="O104" s="110">
        <v>1019704.61</v>
      </c>
      <c r="P104" s="56">
        <f t="shared" ref="P104:P120" si="45">N104-O104</f>
        <v>97095.390000000014</v>
      </c>
      <c r="Q104" s="57">
        <f t="shared" ref="Q104:Q120" si="46">IF(P104&gt;0,P104/N104,0)</f>
        <v>8.6940714541547295E-2</v>
      </c>
      <c r="R104" s="101">
        <f t="shared" si="26"/>
        <v>32000</v>
      </c>
      <c r="S104" s="99">
        <f t="shared" si="27"/>
        <v>29217.897134670489</v>
      </c>
      <c r="T104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4" s="99">
        <v>23200</v>
      </c>
      <c r="V104" s="106">
        <f t="shared" si="28"/>
        <v>809680</v>
      </c>
      <c r="W104" s="100">
        <f t="shared" si="42"/>
        <v>0.20596612777890647</v>
      </c>
      <c r="X104" s="102">
        <f t="shared" si="43"/>
        <v>-210024.61</v>
      </c>
      <c r="Y104" s="123">
        <v>1116800</v>
      </c>
      <c r="Z104" s="123">
        <v>819544.68741999997</v>
      </c>
      <c r="AA104" s="123">
        <f t="shared" si="44"/>
        <v>23482.6558</v>
      </c>
      <c r="AB104" s="123">
        <v>942300</v>
      </c>
      <c r="AC104" s="123">
        <f t="shared" si="37"/>
        <v>27000</v>
      </c>
      <c r="AD104" s="128">
        <f t="shared" si="39"/>
        <v>837600</v>
      </c>
      <c r="AE104" s="123">
        <v>24000</v>
      </c>
      <c r="AF104" s="123">
        <f t="shared" si="40"/>
        <v>-182104.61</v>
      </c>
      <c r="AG104" s="115"/>
      <c r="AH104" s="115"/>
      <c r="AI104" s="115"/>
      <c r="AJ104" s="115"/>
      <c r="AK104" s="115"/>
      <c r="AL104" s="115"/>
    </row>
    <row r="105" spans="1:38" x14ac:dyDescent="0.25">
      <c r="A105" s="113">
        <v>101</v>
      </c>
      <c r="B105" s="53" t="s">
        <v>488</v>
      </c>
      <c r="C105" s="60" t="s">
        <v>540</v>
      </c>
      <c r="D105" s="54">
        <v>22</v>
      </c>
      <c r="E105" s="54">
        <v>22</v>
      </c>
      <c r="F105" s="54">
        <v>22</v>
      </c>
      <c r="G105" s="54" t="s">
        <v>487</v>
      </c>
      <c r="H105" s="54">
        <v>3</v>
      </c>
      <c r="I105" s="54">
        <v>1</v>
      </c>
      <c r="J105" s="54">
        <v>30.5</v>
      </c>
      <c r="K105" s="54">
        <v>28.8</v>
      </c>
      <c r="L105" s="54">
        <v>14.1</v>
      </c>
      <c r="M105" s="54">
        <v>2016</v>
      </c>
      <c r="N105" s="55">
        <f t="shared" si="41"/>
        <v>976000</v>
      </c>
      <c r="O105" s="110">
        <v>1059587.6000000001</v>
      </c>
      <c r="P105" s="56">
        <f t="shared" si="45"/>
        <v>-83587.600000000093</v>
      </c>
      <c r="Q105" s="57">
        <f t="shared" si="46"/>
        <v>0</v>
      </c>
      <c r="R105" s="101">
        <f t="shared" ref="R105:R119" si="47">N105/J105</f>
        <v>32000</v>
      </c>
      <c r="S105" s="99">
        <f t="shared" ref="S105:S119" si="48">IF(P105&gt;0,(N105-P105)/J105,R105)</f>
        <v>32000</v>
      </c>
      <c r="T105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5" s="99">
        <v>23200</v>
      </c>
      <c r="V105" s="106">
        <f t="shared" ref="V105:V119" si="49">J105*U105</f>
        <v>707600</v>
      </c>
      <c r="W105" s="100">
        <f t="shared" si="42"/>
        <v>0.33219301547130231</v>
      </c>
      <c r="X105" s="102">
        <f t="shared" si="43"/>
        <v>-351987.60000000009</v>
      </c>
      <c r="Y105" s="123">
        <v>976000</v>
      </c>
      <c r="Z105" s="123">
        <v>716221.00190000003</v>
      </c>
      <c r="AA105" s="123">
        <f t="shared" si="44"/>
        <v>23482.6558</v>
      </c>
      <c r="AB105" s="123">
        <v>823500</v>
      </c>
      <c r="AC105" s="123">
        <f t="shared" si="37"/>
        <v>27000</v>
      </c>
      <c r="AD105" s="128">
        <f t="shared" si="39"/>
        <v>732000</v>
      </c>
      <c r="AE105" s="123">
        <v>24000</v>
      </c>
      <c r="AF105" s="123">
        <f t="shared" si="40"/>
        <v>-327587.60000000009</v>
      </c>
      <c r="AG105" s="115"/>
      <c r="AH105" s="115"/>
      <c r="AI105" s="115"/>
      <c r="AJ105" s="115"/>
      <c r="AK105" s="115"/>
      <c r="AL105" s="115"/>
    </row>
    <row r="106" spans="1:38" x14ac:dyDescent="0.25">
      <c r="A106" s="113">
        <v>102</v>
      </c>
      <c r="B106" s="53" t="s">
        <v>488</v>
      </c>
      <c r="C106" s="60" t="s">
        <v>540</v>
      </c>
      <c r="D106" s="54">
        <v>23</v>
      </c>
      <c r="E106" s="54">
        <v>23</v>
      </c>
      <c r="F106" s="54">
        <v>23</v>
      </c>
      <c r="G106" s="54" t="s">
        <v>487</v>
      </c>
      <c r="H106" s="54">
        <v>3</v>
      </c>
      <c r="I106" s="54">
        <v>1</v>
      </c>
      <c r="J106" s="54">
        <v>35</v>
      </c>
      <c r="K106" s="54">
        <v>33.299999999999997</v>
      </c>
      <c r="L106" s="54">
        <v>14</v>
      </c>
      <c r="M106" s="54">
        <v>2016</v>
      </c>
      <c r="N106" s="55">
        <f t="shared" si="41"/>
        <v>1120000</v>
      </c>
      <c r="O106" s="110">
        <v>1019704.61</v>
      </c>
      <c r="P106" s="56">
        <f t="shared" si="45"/>
        <v>100295.39000000001</v>
      </c>
      <c r="Q106" s="57">
        <f t="shared" si="46"/>
        <v>8.9549455357142871E-2</v>
      </c>
      <c r="R106" s="101">
        <f t="shared" si="47"/>
        <v>32000</v>
      </c>
      <c r="S106" s="99">
        <f t="shared" si="48"/>
        <v>29134.417428571429</v>
      </c>
      <c r="T106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6" s="99">
        <v>24000</v>
      </c>
      <c r="V106" s="106">
        <f t="shared" si="49"/>
        <v>840000</v>
      </c>
      <c r="W106" s="100">
        <f t="shared" si="42"/>
        <v>0.17623202664544194</v>
      </c>
      <c r="X106" s="102">
        <f t="shared" si="43"/>
        <v>-179704.61</v>
      </c>
      <c r="Y106" s="123">
        <v>1120000</v>
      </c>
      <c r="Z106" s="123">
        <v>821892.95299999998</v>
      </c>
      <c r="AA106" s="123">
        <f t="shared" si="44"/>
        <v>23482.6558</v>
      </c>
      <c r="AB106" s="123">
        <v>945000</v>
      </c>
      <c r="AC106" s="123">
        <f t="shared" si="37"/>
        <v>27000</v>
      </c>
      <c r="AD106" s="128">
        <f t="shared" si="39"/>
        <v>840000</v>
      </c>
      <c r="AE106" s="123">
        <v>24000</v>
      </c>
      <c r="AF106" s="123">
        <f t="shared" si="40"/>
        <v>-179704.61</v>
      </c>
      <c r="AG106" s="115"/>
      <c r="AH106" s="115"/>
      <c r="AI106" s="115"/>
      <c r="AJ106" s="115"/>
      <c r="AK106" s="115"/>
      <c r="AL106" s="115"/>
    </row>
    <row r="107" spans="1:38" x14ac:dyDescent="0.25">
      <c r="A107" s="113">
        <v>103</v>
      </c>
      <c r="B107" s="53" t="s">
        <v>488</v>
      </c>
      <c r="C107" s="60" t="s">
        <v>540</v>
      </c>
      <c r="D107" s="54">
        <v>24</v>
      </c>
      <c r="E107" s="54">
        <v>24</v>
      </c>
      <c r="F107" s="54">
        <v>24</v>
      </c>
      <c r="G107" s="54" t="s">
        <v>487</v>
      </c>
      <c r="H107" s="54">
        <v>3</v>
      </c>
      <c r="I107" s="54">
        <v>1</v>
      </c>
      <c r="J107" s="54">
        <v>33.4</v>
      </c>
      <c r="K107" s="54">
        <v>31.7</v>
      </c>
      <c r="L107" s="54">
        <v>14.1</v>
      </c>
      <c r="M107" s="54">
        <v>2016</v>
      </c>
      <c r="N107" s="55">
        <f t="shared" si="41"/>
        <v>1068800</v>
      </c>
      <c r="O107" s="110">
        <v>990883.33</v>
      </c>
      <c r="P107" s="56">
        <f t="shared" si="45"/>
        <v>77916.670000000042</v>
      </c>
      <c r="Q107" s="57">
        <f t="shared" si="46"/>
        <v>7.2901075973053925E-2</v>
      </c>
      <c r="R107" s="101">
        <f t="shared" si="47"/>
        <v>32000</v>
      </c>
      <c r="S107" s="99">
        <f t="shared" si="48"/>
        <v>29667.165568862274</v>
      </c>
      <c r="T107" s="99">
        <f>GETPIVOTDATA("Среднее по полю Удельная цена сделки/ предложения, руб./кв.м.",'Росреестр анализ'!$A$3,"Город / Нас.пункт","Янаул")</f>
        <v>23482.6558</v>
      </c>
      <c r="U107" s="99">
        <v>24000</v>
      </c>
      <c r="V107" s="106">
        <f t="shared" si="49"/>
        <v>801600</v>
      </c>
      <c r="W107" s="100">
        <f t="shared" si="42"/>
        <v>0.19102484043202136</v>
      </c>
      <c r="X107" s="102">
        <f t="shared" si="43"/>
        <v>-189283.32999999996</v>
      </c>
      <c r="Y107" s="123">
        <v>1068800</v>
      </c>
      <c r="Z107" s="123">
        <v>784320.70371999999</v>
      </c>
      <c r="AA107" s="123">
        <f t="shared" si="44"/>
        <v>23482.6558</v>
      </c>
      <c r="AB107" s="123">
        <v>901800</v>
      </c>
      <c r="AC107" s="123">
        <f t="shared" si="37"/>
        <v>27000</v>
      </c>
      <c r="AD107" s="128">
        <f t="shared" si="39"/>
        <v>801600</v>
      </c>
      <c r="AE107" s="123">
        <v>24000</v>
      </c>
      <c r="AF107" s="123">
        <f t="shared" si="40"/>
        <v>-189283.32999999996</v>
      </c>
      <c r="AG107" s="115"/>
      <c r="AH107" s="115"/>
      <c r="AI107" s="115"/>
      <c r="AJ107" s="115"/>
      <c r="AK107" s="115"/>
      <c r="AL107" s="115"/>
    </row>
    <row r="108" spans="1:38" x14ac:dyDescent="0.25">
      <c r="A108" s="113">
        <v>104</v>
      </c>
      <c r="B108" s="53" t="s">
        <v>515</v>
      </c>
      <c r="C108" s="60" t="s">
        <v>541</v>
      </c>
      <c r="D108" s="54">
        <v>2</v>
      </c>
      <c r="E108" s="54">
        <v>2</v>
      </c>
      <c r="F108" s="54">
        <v>2</v>
      </c>
      <c r="G108" s="54" t="s">
        <v>487</v>
      </c>
      <c r="H108" s="54">
        <v>1</v>
      </c>
      <c r="I108" s="54">
        <v>4</v>
      </c>
      <c r="J108" s="54">
        <v>75.400000000000006</v>
      </c>
      <c r="K108" s="54">
        <v>72.3</v>
      </c>
      <c r="L108" s="54">
        <v>46.5</v>
      </c>
      <c r="M108" s="54">
        <v>2016</v>
      </c>
      <c r="N108" s="55">
        <f>J108*28500</f>
        <v>2148900</v>
      </c>
      <c r="O108" s="110">
        <v>2054190.55</v>
      </c>
      <c r="P108" s="56">
        <f t="shared" si="45"/>
        <v>94709.449999999953</v>
      </c>
      <c r="Q108" s="57">
        <f t="shared" si="46"/>
        <v>4.4073456186886295E-2</v>
      </c>
      <c r="R108" s="101">
        <f t="shared" si="47"/>
        <v>28499.999999999996</v>
      </c>
      <c r="S108" s="99">
        <f t="shared" si="48"/>
        <v>27243.906498673739</v>
      </c>
      <c r="T108" s="99">
        <f>GETPIVOTDATA("Среднее по полю Удельная цена сделки/ предложения, руб./кв.м.",'Росреестр анализ'!$A$3,"Город / Нас.пункт","Кармаскалы")</f>
        <v>26886.335000000003</v>
      </c>
      <c r="U108" s="99">
        <v>23500</v>
      </c>
      <c r="V108" s="106">
        <f t="shared" si="49"/>
        <v>1771900.0000000002</v>
      </c>
      <c r="W108" s="100">
        <f t="shared" si="42"/>
        <v>0.13742179370847549</v>
      </c>
      <c r="X108" s="102">
        <f t="shared" si="43"/>
        <v>-282290.54999999981</v>
      </c>
      <c r="Y108" s="123">
        <v>2264337.4000000004</v>
      </c>
      <c r="Z108" s="123">
        <v>2027229.6590000005</v>
      </c>
      <c r="AA108" s="123">
        <f t="shared" si="44"/>
        <v>26886.335000000003</v>
      </c>
      <c r="AB108" s="123">
        <v>1600000</v>
      </c>
      <c r="AC108" s="123">
        <f t="shared" si="37"/>
        <v>21220.159151193631</v>
      </c>
      <c r="AD108" s="128">
        <f t="shared" si="39"/>
        <v>1658800.0000000002</v>
      </c>
      <c r="AE108" s="123">
        <v>22000</v>
      </c>
      <c r="AF108" s="123">
        <f t="shared" si="40"/>
        <v>-395390.54999999981</v>
      </c>
      <c r="AG108" s="115"/>
      <c r="AH108" s="115"/>
      <c r="AI108" s="115"/>
      <c r="AJ108" s="115"/>
      <c r="AK108" s="115"/>
      <c r="AL108" s="115"/>
    </row>
    <row r="109" spans="1:38" x14ac:dyDescent="0.25">
      <c r="A109" s="113">
        <v>105</v>
      </c>
      <c r="B109" s="53" t="s">
        <v>515</v>
      </c>
      <c r="C109" s="60" t="s">
        <v>541</v>
      </c>
      <c r="D109" s="54">
        <v>4</v>
      </c>
      <c r="E109" s="54">
        <v>4</v>
      </c>
      <c r="F109" s="54">
        <v>4</v>
      </c>
      <c r="G109" s="54" t="s">
        <v>487</v>
      </c>
      <c r="H109" s="54">
        <v>2</v>
      </c>
      <c r="I109" s="54">
        <v>4</v>
      </c>
      <c r="J109" s="54">
        <v>75.5</v>
      </c>
      <c r="K109" s="54">
        <v>72.400000000000006</v>
      </c>
      <c r="L109" s="54">
        <v>46.8</v>
      </c>
      <c r="M109" s="54">
        <v>2016</v>
      </c>
      <c r="N109" s="55">
        <f>J109*28500</f>
        <v>2151750</v>
      </c>
      <c r="O109" s="110">
        <v>2052190.55</v>
      </c>
      <c r="P109" s="56">
        <f t="shared" si="45"/>
        <v>99559.449999999953</v>
      </c>
      <c r="Q109" s="57">
        <f t="shared" si="46"/>
        <v>4.6269060067386986E-2</v>
      </c>
      <c r="R109" s="101">
        <f t="shared" si="47"/>
        <v>28500</v>
      </c>
      <c r="S109" s="99">
        <f t="shared" si="48"/>
        <v>27181.331788079471</v>
      </c>
      <c r="T109" s="99">
        <f>GETPIVOTDATA("Среднее по полю Удельная цена сделки/ предложения, руб./кв.м.",'Росреестр анализ'!$A$3,"Город / Нас.пункт","Кармаскалы")</f>
        <v>26886.335000000003</v>
      </c>
      <c r="U109" s="99">
        <v>23500</v>
      </c>
      <c r="V109" s="106">
        <f t="shared" si="49"/>
        <v>1774250</v>
      </c>
      <c r="W109" s="100">
        <f t="shared" si="42"/>
        <v>0.13543603443647084</v>
      </c>
      <c r="X109" s="102">
        <f t="shared" si="43"/>
        <v>-277940.55000000005</v>
      </c>
      <c r="Y109" s="123">
        <v>2267340.5</v>
      </c>
      <c r="Z109" s="123">
        <v>2029918.2925000002</v>
      </c>
      <c r="AA109" s="123">
        <f t="shared" si="44"/>
        <v>26886.335000000003</v>
      </c>
      <c r="AB109" s="123">
        <v>1600000</v>
      </c>
      <c r="AC109" s="123">
        <f t="shared" si="37"/>
        <v>21192.052980132452</v>
      </c>
      <c r="AD109" s="128">
        <f t="shared" si="39"/>
        <v>1661000</v>
      </c>
      <c r="AE109" s="123">
        <v>22000</v>
      </c>
      <c r="AF109" s="123">
        <f t="shared" si="40"/>
        <v>-391190.55000000005</v>
      </c>
      <c r="AG109" s="115"/>
      <c r="AH109" s="115"/>
      <c r="AI109" s="115"/>
      <c r="AJ109" s="115"/>
      <c r="AK109" s="115"/>
      <c r="AL109" s="115"/>
    </row>
    <row r="110" spans="1:38" x14ac:dyDescent="0.25">
      <c r="A110" s="113">
        <v>106</v>
      </c>
      <c r="B110" s="53" t="s">
        <v>515</v>
      </c>
      <c r="C110" s="60" t="s">
        <v>541</v>
      </c>
      <c r="D110" s="54">
        <v>5</v>
      </c>
      <c r="E110" s="54">
        <v>5</v>
      </c>
      <c r="F110" s="54">
        <v>5</v>
      </c>
      <c r="G110" s="54" t="s">
        <v>487</v>
      </c>
      <c r="H110" s="54">
        <v>3</v>
      </c>
      <c r="I110" s="54">
        <v>3</v>
      </c>
      <c r="J110" s="54">
        <v>63.6</v>
      </c>
      <c r="K110" s="54">
        <v>60.8</v>
      </c>
      <c r="L110" s="54">
        <v>37.1</v>
      </c>
      <c r="M110" s="54">
        <v>2016</v>
      </c>
      <c r="N110" s="55">
        <f>J110*28500</f>
        <v>1812600</v>
      </c>
      <c r="O110" s="110">
        <v>1716790.85</v>
      </c>
      <c r="P110" s="56">
        <f t="shared" si="45"/>
        <v>95809.149999999907</v>
      </c>
      <c r="Q110" s="57">
        <f t="shared" si="46"/>
        <v>5.2857304424583418E-2</v>
      </c>
      <c r="R110" s="101">
        <f t="shared" si="47"/>
        <v>28500</v>
      </c>
      <c r="S110" s="99">
        <f t="shared" si="48"/>
        <v>26993.566823899371</v>
      </c>
      <c r="T110" s="99">
        <f>GETPIVOTDATA("Среднее по полю Удельная цена сделки/ предложения, руб./кв.м.",'Росреестр анализ'!$A$3,"Город / Нас.пункт","Кармаскалы")</f>
        <v>26886.335000000003</v>
      </c>
      <c r="U110" s="99">
        <v>25000</v>
      </c>
      <c r="V110" s="106">
        <f t="shared" si="49"/>
        <v>1590000</v>
      </c>
      <c r="W110" s="100">
        <f t="shared" si="42"/>
        <v>7.3853405031836045E-2</v>
      </c>
      <c r="X110" s="102">
        <f t="shared" si="43"/>
        <v>-126790.85000000009</v>
      </c>
      <c r="Y110" s="123">
        <v>1909971.6</v>
      </c>
      <c r="Z110" s="123">
        <v>1709970.9060000002</v>
      </c>
      <c r="AA110" s="123">
        <f t="shared" si="44"/>
        <v>26886.335000000003</v>
      </c>
      <c r="AB110" s="123">
        <v>1500000</v>
      </c>
      <c r="AC110" s="123">
        <f t="shared" ref="AC110:AC119" si="50">AB110/J110</f>
        <v>23584.905660377357</v>
      </c>
      <c r="AD110" s="128">
        <f t="shared" si="39"/>
        <v>1399200</v>
      </c>
      <c r="AE110" s="123">
        <v>22000</v>
      </c>
      <c r="AF110" s="123">
        <f t="shared" si="40"/>
        <v>-317590.85000000009</v>
      </c>
      <c r="AG110" s="115"/>
      <c r="AH110" s="115"/>
      <c r="AI110" s="115"/>
      <c r="AJ110" s="115"/>
      <c r="AK110" s="115"/>
      <c r="AL110" s="115"/>
    </row>
    <row r="111" spans="1:38" x14ac:dyDescent="0.25">
      <c r="A111" s="113">
        <v>107</v>
      </c>
      <c r="B111" s="53" t="s">
        <v>515</v>
      </c>
      <c r="C111" s="60" t="s">
        <v>541</v>
      </c>
      <c r="D111" s="54">
        <v>6</v>
      </c>
      <c r="E111" s="54">
        <v>6</v>
      </c>
      <c r="F111" s="54">
        <v>6</v>
      </c>
      <c r="G111" s="54" t="s">
        <v>487</v>
      </c>
      <c r="H111" s="54">
        <v>3</v>
      </c>
      <c r="I111" s="54">
        <v>4</v>
      </c>
      <c r="J111" s="54">
        <v>75.7</v>
      </c>
      <c r="K111" s="54">
        <v>72.599999999999994</v>
      </c>
      <c r="L111" s="54">
        <v>47</v>
      </c>
      <c r="M111" s="54">
        <v>2016</v>
      </c>
      <c r="N111" s="55">
        <f>J111*28500</f>
        <v>2157450</v>
      </c>
      <c r="O111" s="110">
        <v>2052190.55</v>
      </c>
      <c r="P111" s="56">
        <f t="shared" si="45"/>
        <v>105259.44999999995</v>
      </c>
      <c r="Q111" s="57">
        <f t="shared" si="46"/>
        <v>4.8788824769983058E-2</v>
      </c>
      <c r="R111" s="101">
        <f t="shared" si="47"/>
        <v>28500</v>
      </c>
      <c r="S111" s="99">
        <f t="shared" si="48"/>
        <v>27109.518494055483</v>
      </c>
      <c r="T111" s="99">
        <f>GETPIVOTDATA("Среднее по полю Удельная цена сделки/ предложения, руб./кв.м.",'Росреестр анализ'!$A$3,"Город / Нас.пункт","Кармаскалы")</f>
        <v>26886.335000000003</v>
      </c>
      <c r="U111" s="99">
        <v>23500</v>
      </c>
      <c r="V111" s="106">
        <f t="shared" si="49"/>
        <v>1778950</v>
      </c>
      <c r="W111" s="100">
        <f t="shared" si="42"/>
        <v>0.13314579876610388</v>
      </c>
      <c r="X111" s="102">
        <f t="shared" si="43"/>
        <v>-273240.55000000005</v>
      </c>
      <c r="Y111" s="123">
        <v>2273346.7000000002</v>
      </c>
      <c r="Z111" s="123">
        <v>2035295.5595000002</v>
      </c>
      <c r="AA111" s="123">
        <f t="shared" si="44"/>
        <v>26886.335000000003</v>
      </c>
      <c r="AB111" s="123">
        <v>1600000</v>
      </c>
      <c r="AC111" s="123">
        <f t="shared" si="50"/>
        <v>21136.063408190224</v>
      </c>
      <c r="AD111" s="128">
        <f t="shared" si="39"/>
        <v>1665400</v>
      </c>
      <c r="AE111" s="123">
        <v>22000</v>
      </c>
      <c r="AF111" s="123">
        <f t="shared" si="40"/>
        <v>-386790.55000000005</v>
      </c>
      <c r="AG111" s="115"/>
      <c r="AH111" s="115"/>
      <c r="AI111" s="115"/>
      <c r="AJ111" s="115"/>
      <c r="AK111" s="115"/>
      <c r="AL111" s="115"/>
    </row>
    <row r="112" spans="1:38" x14ac:dyDescent="0.25">
      <c r="A112" s="113">
        <v>108</v>
      </c>
      <c r="B112" s="53" t="s">
        <v>542</v>
      </c>
      <c r="C112" s="60" t="s">
        <v>543</v>
      </c>
      <c r="D112" s="54">
        <v>3</v>
      </c>
      <c r="E112" s="54">
        <v>3</v>
      </c>
      <c r="F112" s="54">
        <v>3</v>
      </c>
      <c r="G112" s="54" t="s">
        <v>487</v>
      </c>
      <c r="H112" s="54">
        <v>1</v>
      </c>
      <c r="I112" s="54">
        <v>3</v>
      </c>
      <c r="J112" s="54">
        <v>66.7</v>
      </c>
      <c r="K112" s="54">
        <v>63.7</v>
      </c>
      <c r="L112" s="54">
        <v>40.1</v>
      </c>
      <c r="M112" s="54">
        <v>2016</v>
      </c>
      <c r="N112" s="55">
        <f t="shared" ref="N112:N119" si="51">J112*29000</f>
        <v>1934300</v>
      </c>
      <c r="O112" s="110">
        <v>1714744.44</v>
      </c>
      <c r="P112" s="56">
        <f t="shared" si="45"/>
        <v>219555.56000000006</v>
      </c>
      <c r="Q112" s="57">
        <f t="shared" si="46"/>
        <v>0.11350646745592724</v>
      </c>
      <c r="R112" s="101">
        <f t="shared" si="47"/>
        <v>29000</v>
      </c>
      <c r="S112" s="99">
        <f t="shared" si="48"/>
        <v>25708.312443778108</v>
      </c>
      <c r="T112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2" s="99">
        <v>20600</v>
      </c>
      <c r="V112" s="106">
        <f t="shared" si="49"/>
        <v>1374020</v>
      </c>
      <c r="W112" s="100">
        <f t="shared" si="42"/>
        <v>0.19870275246380151</v>
      </c>
      <c r="X112" s="102">
        <f t="shared" si="43"/>
        <v>-340724.43999999994</v>
      </c>
      <c r="Y112" s="123">
        <v>1936100.9000000001</v>
      </c>
      <c r="Z112" s="123">
        <v>1375791.2185000002</v>
      </c>
      <c r="AA112" s="123">
        <f t="shared" si="44"/>
        <v>20626.555</v>
      </c>
      <c r="AB112" s="123">
        <v>1740870</v>
      </c>
      <c r="AC112" s="123">
        <f t="shared" si="50"/>
        <v>26100</v>
      </c>
      <c r="AD112" s="128">
        <f t="shared" si="39"/>
        <v>1400700</v>
      </c>
      <c r="AE112" s="123">
        <v>21000</v>
      </c>
      <c r="AF112" s="123">
        <f t="shared" si="40"/>
        <v>-314044.43999999994</v>
      </c>
      <c r="AG112" s="115"/>
      <c r="AH112" s="115"/>
      <c r="AI112" s="115"/>
      <c r="AJ112" s="115"/>
      <c r="AK112" s="115"/>
      <c r="AL112" s="115"/>
    </row>
    <row r="113" spans="1:38" x14ac:dyDescent="0.25">
      <c r="A113" s="113">
        <v>109</v>
      </c>
      <c r="B113" s="53" t="s">
        <v>542</v>
      </c>
      <c r="C113" s="60" t="s">
        <v>543</v>
      </c>
      <c r="D113" s="54">
        <v>4</v>
      </c>
      <c r="E113" s="54">
        <v>4</v>
      </c>
      <c r="F113" s="54">
        <v>4</v>
      </c>
      <c r="G113" s="54" t="s">
        <v>487</v>
      </c>
      <c r="H113" s="54">
        <v>2</v>
      </c>
      <c r="I113" s="54">
        <v>2</v>
      </c>
      <c r="J113" s="54">
        <v>49.6</v>
      </c>
      <c r="K113" s="54">
        <v>48.7</v>
      </c>
      <c r="L113" s="54">
        <v>28.1</v>
      </c>
      <c r="M113" s="54">
        <v>2016</v>
      </c>
      <c r="N113" s="55">
        <f t="shared" si="51"/>
        <v>1438400</v>
      </c>
      <c r="O113" s="110">
        <v>1320168.26</v>
      </c>
      <c r="P113" s="56">
        <f t="shared" si="45"/>
        <v>118231.73999999999</v>
      </c>
      <c r="Q113" s="57">
        <f t="shared" si="46"/>
        <v>8.2196704671857607E-2</v>
      </c>
      <c r="R113" s="101">
        <f t="shared" si="47"/>
        <v>29000</v>
      </c>
      <c r="S113" s="99">
        <f t="shared" si="48"/>
        <v>26616.295564516127</v>
      </c>
      <c r="T113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3" s="99">
        <v>20600</v>
      </c>
      <c r="V113" s="106">
        <f t="shared" si="49"/>
        <v>1021760</v>
      </c>
      <c r="W113" s="100">
        <f t="shared" si="42"/>
        <v>0.22603805063454563</v>
      </c>
      <c r="X113" s="102">
        <f t="shared" si="43"/>
        <v>-298408.26</v>
      </c>
      <c r="Y113" s="123">
        <v>1439739.2</v>
      </c>
      <c r="Z113" s="123">
        <v>1023077.128</v>
      </c>
      <c r="AA113" s="123">
        <f t="shared" si="44"/>
        <v>20626.555</v>
      </c>
      <c r="AB113" s="123">
        <v>1294560</v>
      </c>
      <c r="AC113" s="123">
        <f t="shared" si="50"/>
        <v>26100</v>
      </c>
      <c r="AD113" s="128">
        <f t="shared" si="39"/>
        <v>1041600</v>
      </c>
      <c r="AE113" s="123">
        <v>21000</v>
      </c>
      <c r="AF113" s="123">
        <f t="shared" si="40"/>
        <v>-278568.26</v>
      </c>
      <c r="AG113" s="115"/>
      <c r="AH113" s="115"/>
      <c r="AI113" s="115"/>
      <c r="AJ113" s="115"/>
      <c r="AK113" s="115"/>
      <c r="AL113" s="115"/>
    </row>
    <row r="114" spans="1:38" x14ac:dyDescent="0.25">
      <c r="A114" s="113">
        <v>110</v>
      </c>
      <c r="B114" s="53" t="s">
        <v>542</v>
      </c>
      <c r="C114" s="60" t="s">
        <v>543</v>
      </c>
      <c r="D114" s="54">
        <v>8</v>
      </c>
      <c r="E114" s="54">
        <v>8</v>
      </c>
      <c r="F114" s="54">
        <v>8</v>
      </c>
      <c r="G114" s="54" t="s">
        <v>487</v>
      </c>
      <c r="H114" s="54">
        <v>3</v>
      </c>
      <c r="I114" s="54">
        <v>2</v>
      </c>
      <c r="J114" s="54">
        <v>49.5</v>
      </c>
      <c r="K114" s="54">
        <v>48.6</v>
      </c>
      <c r="L114" s="54">
        <v>28.1</v>
      </c>
      <c r="M114" s="54">
        <v>2016</v>
      </c>
      <c r="N114" s="55">
        <f t="shared" si="51"/>
        <v>1435500</v>
      </c>
      <c r="O114" s="110">
        <v>1320168.26</v>
      </c>
      <c r="P114" s="56">
        <f t="shared" si="45"/>
        <v>115331.73999999999</v>
      </c>
      <c r="Q114" s="57">
        <f t="shared" si="46"/>
        <v>8.0342556600487627E-2</v>
      </c>
      <c r="R114" s="101">
        <f t="shared" si="47"/>
        <v>29000</v>
      </c>
      <c r="S114" s="99">
        <f t="shared" si="48"/>
        <v>26670.065858585858</v>
      </c>
      <c r="T114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4" s="99">
        <v>20600</v>
      </c>
      <c r="V114" s="106">
        <f t="shared" si="49"/>
        <v>1019700</v>
      </c>
      <c r="W114" s="100">
        <f t="shared" si="42"/>
        <v>0.22759845779052437</v>
      </c>
      <c r="X114" s="102">
        <f t="shared" si="43"/>
        <v>-300468.26</v>
      </c>
      <c r="Y114" s="123">
        <v>1436836.5</v>
      </c>
      <c r="Z114" s="123">
        <v>1021014.4725</v>
      </c>
      <c r="AA114" s="123">
        <f t="shared" si="44"/>
        <v>20626.555</v>
      </c>
      <c r="AB114" s="123">
        <v>1291950</v>
      </c>
      <c r="AC114" s="123">
        <f t="shared" si="50"/>
        <v>26100</v>
      </c>
      <c r="AD114" s="128">
        <f t="shared" si="39"/>
        <v>1039500</v>
      </c>
      <c r="AE114" s="123">
        <v>21000</v>
      </c>
      <c r="AF114" s="123">
        <f t="shared" si="40"/>
        <v>-280668.26</v>
      </c>
      <c r="AG114" s="115"/>
      <c r="AH114" s="115"/>
      <c r="AI114" s="115"/>
      <c r="AJ114" s="115"/>
      <c r="AK114" s="115"/>
      <c r="AL114" s="115"/>
    </row>
    <row r="115" spans="1:38" x14ac:dyDescent="0.25">
      <c r="A115" s="113">
        <v>111</v>
      </c>
      <c r="B115" s="53" t="s">
        <v>542</v>
      </c>
      <c r="C115" s="60" t="s">
        <v>543</v>
      </c>
      <c r="D115" s="54">
        <v>12</v>
      </c>
      <c r="E115" s="54">
        <v>12</v>
      </c>
      <c r="F115" s="54">
        <v>12</v>
      </c>
      <c r="G115" s="54" t="s">
        <v>487</v>
      </c>
      <c r="H115" s="54">
        <v>1</v>
      </c>
      <c r="I115" s="54">
        <v>3</v>
      </c>
      <c r="J115" s="54">
        <v>66</v>
      </c>
      <c r="K115" s="54">
        <v>63</v>
      </c>
      <c r="L115" s="54">
        <v>39.799999999999997</v>
      </c>
      <c r="M115" s="54">
        <v>2016</v>
      </c>
      <c r="N115" s="55">
        <f t="shared" si="51"/>
        <v>1914000</v>
      </c>
      <c r="O115" s="110">
        <v>1714744.44</v>
      </c>
      <c r="P115" s="56">
        <f t="shared" si="45"/>
        <v>199255.56000000006</v>
      </c>
      <c r="Q115" s="57">
        <f t="shared" si="46"/>
        <v>0.10410426332288404</v>
      </c>
      <c r="R115" s="101">
        <f t="shared" si="47"/>
        <v>29000</v>
      </c>
      <c r="S115" s="99">
        <f t="shared" si="48"/>
        <v>25980.976363636364</v>
      </c>
      <c r="T115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5" s="99">
        <v>20600</v>
      </c>
      <c r="V115" s="106">
        <f t="shared" si="49"/>
        <v>1359600</v>
      </c>
      <c r="W115" s="100">
        <f t="shared" si="42"/>
        <v>0.20711216885473613</v>
      </c>
      <c r="X115" s="102">
        <f t="shared" si="43"/>
        <v>-355144.43999999994</v>
      </c>
      <c r="Y115" s="123">
        <v>1915782</v>
      </c>
      <c r="Z115" s="123">
        <v>1361352.6300000001</v>
      </c>
      <c r="AA115" s="123">
        <f t="shared" si="44"/>
        <v>20626.555</v>
      </c>
      <c r="AB115" s="123">
        <v>1722600</v>
      </c>
      <c r="AC115" s="123">
        <f t="shared" si="50"/>
        <v>26100</v>
      </c>
      <c r="AD115" s="128">
        <f t="shared" si="39"/>
        <v>1386000</v>
      </c>
      <c r="AE115" s="123">
        <v>21000</v>
      </c>
      <c r="AF115" s="123">
        <f t="shared" si="40"/>
        <v>-328744.43999999994</v>
      </c>
      <c r="AG115" s="115"/>
      <c r="AH115" s="115"/>
      <c r="AI115" s="115"/>
      <c r="AJ115" s="115"/>
      <c r="AK115" s="115"/>
      <c r="AL115" s="115"/>
    </row>
    <row r="116" spans="1:38" x14ac:dyDescent="0.25">
      <c r="A116" s="113">
        <v>112</v>
      </c>
      <c r="B116" s="53" t="s">
        <v>542</v>
      </c>
      <c r="C116" s="60" t="s">
        <v>543</v>
      </c>
      <c r="D116" s="54">
        <v>13</v>
      </c>
      <c r="E116" s="54">
        <v>13</v>
      </c>
      <c r="F116" s="54">
        <v>13</v>
      </c>
      <c r="G116" s="54" t="s">
        <v>487</v>
      </c>
      <c r="H116" s="54">
        <v>1</v>
      </c>
      <c r="I116" s="54">
        <v>3</v>
      </c>
      <c r="J116" s="54">
        <v>60.1</v>
      </c>
      <c r="K116" s="54">
        <v>58.4</v>
      </c>
      <c r="L116" s="54">
        <v>39.1</v>
      </c>
      <c r="M116" s="54">
        <v>2016</v>
      </c>
      <c r="N116" s="55">
        <f t="shared" si="51"/>
        <v>1742900</v>
      </c>
      <c r="O116" s="110">
        <v>1661937.71</v>
      </c>
      <c r="P116" s="56">
        <f t="shared" si="45"/>
        <v>80962.290000000037</v>
      </c>
      <c r="Q116" s="57">
        <f t="shared" si="46"/>
        <v>4.6452630673016256E-2</v>
      </c>
      <c r="R116" s="101">
        <f t="shared" si="47"/>
        <v>29000</v>
      </c>
      <c r="S116" s="99">
        <f t="shared" si="48"/>
        <v>27652.873710482527</v>
      </c>
      <c r="T116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6" s="99">
        <v>20600</v>
      </c>
      <c r="V116" s="106">
        <f t="shared" si="49"/>
        <v>1238060</v>
      </c>
      <c r="W116" s="100">
        <f t="shared" si="42"/>
        <v>0.25505029908732257</v>
      </c>
      <c r="X116" s="102">
        <f t="shared" si="43"/>
        <v>-423877.70999999996</v>
      </c>
      <c r="Y116" s="123">
        <v>1744522.7</v>
      </c>
      <c r="Z116" s="123">
        <v>1239655.9555000002</v>
      </c>
      <c r="AA116" s="123">
        <f t="shared" si="44"/>
        <v>20626.555000000004</v>
      </c>
      <c r="AB116" s="123">
        <v>1568610</v>
      </c>
      <c r="AC116" s="123">
        <f t="shared" si="50"/>
        <v>26100</v>
      </c>
      <c r="AD116" s="128">
        <f t="shared" si="39"/>
        <v>1262100</v>
      </c>
      <c r="AE116" s="123">
        <v>21000</v>
      </c>
      <c r="AF116" s="123">
        <f t="shared" si="40"/>
        <v>-399837.70999999996</v>
      </c>
      <c r="AG116" s="115"/>
      <c r="AH116" s="115"/>
      <c r="AI116" s="115"/>
      <c r="AJ116" s="115"/>
      <c r="AK116" s="115"/>
      <c r="AL116" s="115"/>
    </row>
    <row r="117" spans="1:38" x14ac:dyDescent="0.25">
      <c r="A117" s="113">
        <v>113</v>
      </c>
      <c r="B117" s="53" t="s">
        <v>542</v>
      </c>
      <c r="C117" s="60" t="s">
        <v>543</v>
      </c>
      <c r="D117" s="54">
        <v>16</v>
      </c>
      <c r="E117" s="54">
        <v>16</v>
      </c>
      <c r="F117" s="54">
        <v>16</v>
      </c>
      <c r="G117" s="54" t="s">
        <v>487</v>
      </c>
      <c r="H117" s="54">
        <v>2</v>
      </c>
      <c r="I117" s="54">
        <v>2</v>
      </c>
      <c r="J117" s="54">
        <v>50.2</v>
      </c>
      <c r="K117" s="54">
        <v>49.3</v>
      </c>
      <c r="L117" s="54">
        <v>28.5</v>
      </c>
      <c r="M117" s="54">
        <v>2016</v>
      </c>
      <c r="N117" s="55">
        <f t="shared" si="51"/>
        <v>1455800</v>
      </c>
      <c r="O117" s="110">
        <v>1320168.26</v>
      </c>
      <c r="P117" s="56">
        <f t="shared" si="45"/>
        <v>135631.74</v>
      </c>
      <c r="Q117" s="57">
        <f t="shared" si="46"/>
        <v>9.3166465173787599E-2</v>
      </c>
      <c r="R117" s="101">
        <f t="shared" si="47"/>
        <v>29000</v>
      </c>
      <c r="S117" s="99">
        <f t="shared" si="48"/>
        <v>26298.172509960157</v>
      </c>
      <c r="T117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7" s="99">
        <v>20600</v>
      </c>
      <c r="V117" s="106">
        <f t="shared" si="49"/>
        <v>1034120.0000000001</v>
      </c>
      <c r="W117" s="100">
        <f t="shared" si="42"/>
        <v>0.21667560769867311</v>
      </c>
      <c r="X117" s="102">
        <f t="shared" si="43"/>
        <v>-286048.25999999989</v>
      </c>
      <c r="Y117" s="123">
        <v>1457155.4000000001</v>
      </c>
      <c r="Z117" s="123">
        <v>1035453.0610000001</v>
      </c>
      <c r="AA117" s="123">
        <f t="shared" si="44"/>
        <v>20626.555</v>
      </c>
      <c r="AB117" s="123">
        <v>1310220</v>
      </c>
      <c r="AC117" s="123">
        <f t="shared" si="50"/>
        <v>26100</v>
      </c>
      <c r="AD117" s="128">
        <f t="shared" si="39"/>
        <v>1054200</v>
      </c>
      <c r="AE117" s="123">
        <v>21000</v>
      </c>
      <c r="AF117" s="123">
        <f t="shared" si="40"/>
        <v>-265968.26</v>
      </c>
      <c r="AG117" s="115"/>
      <c r="AH117" s="115"/>
      <c r="AI117" s="115"/>
      <c r="AJ117" s="115"/>
      <c r="AK117" s="115"/>
      <c r="AL117" s="115"/>
    </row>
    <row r="118" spans="1:38" x14ac:dyDescent="0.25">
      <c r="A118" s="113">
        <v>114</v>
      </c>
      <c r="B118" s="53" t="s">
        <v>542</v>
      </c>
      <c r="C118" s="60" t="s">
        <v>543</v>
      </c>
      <c r="D118" s="54">
        <v>17</v>
      </c>
      <c r="E118" s="54">
        <v>17</v>
      </c>
      <c r="F118" s="54">
        <v>17</v>
      </c>
      <c r="G118" s="54" t="s">
        <v>487</v>
      </c>
      <c r="H118" s="54">
        <v>3</v>
      </c>
      <c r="I118" s="54">
        <v>3</v>
      </c>
      <c r="J118" s="54">
        <v>60.1</v>
      </c>
      <c r="K118" s="54">
        <v>58.4</v>
      </c>
      <c r="L118" s="54">
        <v>39.299999999999997</v>
      </c>
      <c r="M118" s="54">
        <v>2016</v>
      </c>
      <c r="N118" s="55">
        <f t="shared" si="51"/>
        <v>1742900</v>
      </c>
      <c r="O118" s="110">
        <v>1661937.71</v>
      </c>
      <c r="P118" s="56">
        <f t="shared" si="45"/>
        <v>80962.290000000037</v>
      </c>
      <c r="Q118" s="57">
        <f t="shared" si="46"/>
        <v>4.6452630673016256E-2</v>
      </c>
      <c r="R118" s="101">
        <f t="shared" si="47"/>
        <v>29000</v>
      </c>
      <c r="S118" s="99">
        <f t="shared" si="48"/>
        <v>27652.873710482527</v>
      </c>
      <c r="T118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8" s="99">
        <v>20600</v>
      </c>
      <c r="V118" s="106">
        <f t="shared" si="49"/>
        <v>1238060</v>
      </c>
      <c r="W118" s="100">
        <f t="shared" si="42"/>
        <v>0.25505029908732257</v>
      </c>
      <c r="X118" s="102">
        <f t="shared" si="43"/>
        <v>-423877.70999999996</v>
      </c>
      <c r="Y118" s="123">
        <v>1744522.7</v>
      </c>
      <c r="Z118" s="123">
        <v>1239655.9555000002</v>
      </c>
      <c r="AA118" s="123">
        <f t="shared" si="44"/>
        <v>20626.555000000004</v>
      </c>
      <c r="AB118" s="123">
        <v>1568610</v>
      </c>
      <c r="AC118" s="123">
        <f t="shared" si="50"/>
        <v>26100</v>
      </c>
      <c r="AD118" s="128">
        <f t="shared" si="39"/>
        <v>1262100</v>
      </c>
      <c r="AE118" s="123">
        <v>21000</v>
      </c>
      <c r="AF118" s="123">
        <f t="shared" si="40"/>
        <v>-399837.70999999996</v>
      </c>
      <c r="AG118" s="115"/>
      <c r="AH118" s="115"/>
      <c r="AI118" s="115"/>
      <c r="AJ118" s="115"/>
      <c r="AK118" s="115"/>
      <c r="AL118" s="115"/>
    </row>
    <row r="119" spans="1:38" x14ac:dyDescent="0.25">
      <c r="A119" s="113">
        <v>115</v>
      </c>
      <c r="B119" s="53" t="s">
        <v>542</v>
      </c>
      <c r="C119" s="60" t="s">
        <v>543</v>
      </c>
      <c r="D119" s="54">
        <v>19</v>
      </c>
      <c r="E119" s="54">
        <v>19</v>
      </c>
      <c r="F119" s="54">
        <v>19</v>
      </c>
      <c r="G119" s="54" t="s">
        <v>487</v>
      </c>
      <c r="H119" s="54">
        <v>3</v>
      </c>
      <c r="I119" s="54">
        <v>2</v>
      </c>
      <c r="J119" s="54">
        <v>49.6</v>
      </c>
      <c r="K119" s="54">
        <v>48.7</v>
      </c>
      <c r="L119" s="54">
        <v>28.2</v>
      </c>
      <c r="M119" s="54">
        <v>2016</v>
      </c>
      <c r="N119" s="55">
        <f t="shared" si="51"/>
        <v>1438400</v>
      </c>
      <c r="O119" s="110">
        <v>1392051.86</v>
      </c>
      <c r="P119" s="56">
        <f t="shared" si="45"/>
        <v>46348.139999999898</v>
      </c>
      <c r="Q119" s="57">
        <f t="shared" si="46"/>
        <v>3.2222010567296927E-2</v>
      </c>
      <c r="R119" s="101">
        <f t="shared" si="47"/>
        <v>29000</v>
      </c>
      <c r="S119" s="99">
        <f t="shared" si="48"/>
        <v>28065.561693548389</v>
      </c>
      <c r="T119" s="99">
        <f>GETPIVOTDATA("Среднее по полю Удельная цена сделки/ предложения, руб./кв.м.",'Росреестр анализ'!$A$3,"Город / Нас.пункт","Языково")</f>
        <v>20626.555</v>
      </c>
      <c r="U119" s="99">
        <v>20600</v>
      </c>
      <c r="V119" s="106">
        <f t="shared" si="49"/>
        <v>1021760</v>
      </c>
      <c r="W119" s="100">
        <f t="shared" si="42"/>
        <v>0.26600435705031855</v>
      </c>
      <c r="X119" s="102">
        <f t="shared" si="43"/>
        <v>-370291.8600000001</v>
      </c>
      <c r="Y119" s="123">
        <v>1439739.2</v>
      </c>
      <c r="Z119" s="123">
        <v>1023077.128</v>
      </c>
      <c r="AA119" s="123">
        <f t="shared" si="44"/>
        <v>20626.555</v>
      </c>
      <c r="AB119" s="123">
        <v>1294560</v>
      </c>
      <c r="AC119" s="123">
        <f t="shared" si="50"/>
        <v>26100</v>
      </c>
      <c r="AD119" s="128">
        <f t="shared" si="39"/>
        <v>1041600</v>
      </c>
      <c r="AE119" s="123">
        <v>21000</v>
      </c>
      <c r="AF119" s="123">
        <f t="shared" si="40"/>
        <v>-350451.8600000001</v>
      </c>
      <c r="AG119" s="115"/>
      <c r="AH119" s="115"/>
      <c r="AI119" s="115"/>
      <c r="AJ119" s="115"/>
      <c r="AK119" s="115"/>
      <c r="AL119" s="115"/>
    </row>
    <row r="120" spans="1:38" x14ac:dyDescent="0.25">
      <c r="B120" s="114" t="s">
        <v>559</v>
      </c>
      <c r="C120" s="61"/>
      <c r="D120" s="62"/>
      <c r="E120" s="62"/>
      <c r="F120" s="62"/>
      <c r="G120" s="62"/>
      <c r="H120" s="62"/>
      <c r="I120" s="63"/>
      <c r="J120" s="64">
        <f>SUM(J5:J119)</f>
        <v>5818.6</v>
      </c>
      <c r="K120" s="64">
        <f>SUM(K5:K119)</f>
        <v>5530.2999999999993</v>
      </c>
      <c r="L120" s="64">
        <f>SUM(L5:L119)</f>
        <v>3214.1999999999971</v>
      </c>
      <c r="M120" s="64"/>
      <c r="N120" s="64">
        <f>SUM(N5:N119)</f>
        <v>165400520</v>
      </c>
      <c r="O120" s="64">
        <f>SUM(O5:O119)</f>
        <v>157812957.88000011</v>
      </c>
      <c r="P120" s="65">
        <f t="shared" si="45"/>
        <v>7587562.1199998856</v>
      </c>
      <c r="Q120" s="66">
        <f t="shared" si="46"/>
        <v>4.5873871013222239E-2</v>
      </c>
      <c r="R120" s="103"/>
      <c r="S120" s="104"/>
      <c r="T120" s="104"/>
      <c r="U120" s="104"/>
      <c r="V120" s="111">
        <f>SUM(V5:V119)</f>
        <v>88392830</v>
      </c>
      <c r="W120" s="105"/>
      <c r="X120" s="112">
        <f>SUM(X5:X119)</f>
        <v>-20467630.270000014</v>
      </c>
      <c r="AB120" s="52">
        <f>SUM(AB5:AB119)</f>
        <v>126257205</v>
      </c>
      <c r="AD120" s="52">
        <f>SUM(AD5:AD119)</f>
        <v>127974281</v>
      </c>
      <c r="AF120" s="129">
        <f>SUM(AF5:AF119)</f>
        <v>-28554838.150000006</v>
      </c>
      <c r="AL120" s="115"/>
    </row>
  </sheetData>
  <autoFilter ref="B4:Z120"/>
  <mergeCells count="31">
    <mergeCell ref="B3:B4"/>
    <mergeCell ref="C3:C4"/>
    <mergeCell ref="D3:D4"/>
    <mergeCell ref="E3:E4"/>
    <mergeCell ref="F3:F4"/>
    <mergeCell ref="G3:G4"/>
    <mergeCell ref="H3:H4"/>
    <mergeCell ref="I3:I4"/>
    <mergeCell ref="M3:M4"/>
    <mergeCell ref="J3:L4"/>
    <mergeCell ref="AL3:AL4"/>
    <mergeCell ref="W3:W4"/>
    <mergeCell ref="X3:X4"/>
    <mergeCell ref="V3:V4"/>
    <mergeCell ref="P3:P4"/>
    <mergeCell ref="Q3:Q4"/>
    <mergeCell ref="R3:R4"/>
    <mergeCell ref="S3:S4"/>
    <mergeCell ref="T3:T4"/>
    <mergeCell ref="U3:U4"/>
    <mergeCell ref="AK3:AK4"/>
    <mergeCell ref="AG3:AG4"/>
    <mergeCell ref="AH3:AH4"/>
    <mergeCell ref="AI3:AI4"/>
    <mergeCell ref="AD3:AD4"/>
    <mergeCell ref="N3:N4"/>
    <mergeCell ref="O3:O4"/>
    <mergeCell ref="AB10:AB13"/>
    <mergeCell ref="Y3:Y4"/>
    <mergeCell ref="Z3:Z4"/>
    <mergeCell ref="AB3:AB4"/>
  </mergeCells>
  <pageMargins left="0" right="0" top="0" bottom="0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19"/>
  <sheetViews>
    <sheetView workbookViewId="0">
      <selection activeCell="C6" sqref="C6"/>
    </sheetView>
  </sheetViews>
  <sheetFormatPr defaultRowHeight="15" x14ac:dyDescent="0.25"/>
  <cols>
    <col min="1" max="1" width="13.85546875" customWidth="1"/>
    <col min="2" max="2" width="23.5703125" style="181" customWidth="1"/>
    <col min="3" max="3" width="36.28515625" customWidth="1"/>
  </cols>
  <sheetData>
    <row r="2" spans="1:3" x14ac:dyDescent="0.25">
      <c r="B2"/>
    </row>
    <row r="3" spans="1:3" ht="28.9" customHeight="1" x14ac:dyDescent="0.25"/>
    <row r="4" spans="1:3" x14ac:dyDescent="0.25">
      <c r="A4" s="180" t="s">
        <v>587</v>
      </c>
      <c r="B4" s="180" t="s">
        <v>13</v>
      </c>
      <c r="C4" s="181" t="s">
        <v>588</v>
      </c>
    </row>
    <row r="5" spans="1:3" s="183" customFormat="1" x14ac:dyDescent="0.25">
      <c r="A5" s="183" t="s">
        <v>485</v>
      </c>
      <c r="B5" s="183" t="s">
        <v>486</v>
      </c>
      <c r="C5" s="182">
        <v>-592561.20000000019</v>
      </c>
    </row>
    <row r="6" spans="1:3" s="184" customFormat="1" x14ac:dyDescent="0.25">
      <c r="B6" s="184" t="s">
        <v>495</v>
      </c>
      <c r="C6" s="185">
        <v>340546.57000000007</v>
      </c>
    </row>
    <row r="7" spans="1:3" s="184" customFormat="1" x14ac:dyDescent="0.25">
      <c r="A7" s="184" t="s">
        <v>513</v>
      </c>
      <c r="B7" s="184" t="s">
        <v>514</v>
      </c>
      <c r="C7" s="185">
        <v>1121991.0499999998</v>
      </c>
    </row>
    <row r="8" spans="1:3" x14ac:dyDescent="0.25">
      <c r="A8" t="s">
        <v>498</v>
      </c>
      <c r="B8" t="s">
        <v>499</v>
      </c>
      <c r="C8" s="181">
        <v>107800</v>
      </c>
    </row>
    <row r="9" spans="1:3" s="183" customFormat="1" x14ac:dyDescent="0.25">
      <c r="A9" s="183" t="s">
        <v>503</v>
      </c>
      <c r="B9" s="183" t="s">
        <v>504</v>
      </c>
      <c r="C9" s="182">
        <v>-115960.10000000009</v>
      </c>
    </row>
    <row r="10" spans="1:3" x14ac:dyDescent="0.25">
      <c r="A10" t="s">
        <v>534</v>
      </c>
      <c r="B10" t="s">
        <v>535</v>
      </c>
      <c r="C10" s="181">
        <v>454262.29000000004</v>
      </c>
    </row>
    <row r="11" spans="1:3" x14ac:dyDescent="0.25">
      <c r="A11" t="s">
        <v>501</v>
      </c>
      <c r="B11" t="s">
        <v>502</v>
      </c>
      <c r="C11" s="181">
        <v>48989.770000000019</v>
      </c>
    </row>
    <row r="12" spans="1:3" x14ac:dyDescent="0.25">
      <c r="A12" t="s">
        <v>488</v>
      </c>
      <c r="B12" t="s">
        <v>540</v>
      </c>
      <c r="C12" s="181">
        <v>40787.24000000034</v>
      </c>
    </row>
    <row r="13" spans="1:3" s="183" customFormat="1" x14ac:dyDescent="0.25">
      <c r="B13" s="183" t="s">
        <v>489</v>
      </c>
      <c r="C13" s="182">
        <v>-418770.78</v>
      </c>
    </row>
    <row r="14" spans="1:3" s="183" customFormat="1" x14ac:dyDescent="0.25">
      <c r="A14" s="183" t="s">
        <v>490</v>
      </c>
      <c r="B14" s="183" t="s">
        <v>492</v>
      </c>
      <c r="C14" s="182">
        <v>-232353.55000000005</v>
      </c>
    </row>
    <row r="15" spans="1:3" s="183" customFormat="1" x14ac:dyDescent="0.25">
      <c r="B15" s="183" t="s">
        <v>491</v>
      </c>
      <c r="C15" s="182">
        <v>-157733.92000000016</v>
      </c>
    </row>
    <row r="16" spans="1:3" s="183" customFormat="1" x14ac:dyDescent="0.25">
      <c r="A16" s="183" t="s">
        <v>528</v>
      </c>
      <c r="B16" s="183" t="s">
        <v>529</v>
      </c>
      <c r="C16" s="182">
        <v>-309871.60999999964</v>
      </c>
    </row>
    <row r="17" spans="1:3" s="183" customFormat="1" x14ac:dyDescent="0.25">
      <c r="B17" s="183" t="s">
        <v>530</v>
      </c>
      <c r="C17" s="182">
        <v>-66454.14000000013</v>
      </c>
    </row>
    <row r="18" spans="1:3" s="183" customFormat="1" x14ac:dyDescent="0.25">
      <c r="A18" s="183" t="s">
        <v>493</v>
      </c>
      <c r="B18" s="183" t="s">
        <v>494</v>
      </c>
      <c r="C18" s="182">
        <v>-164595.35000000009</v>
      </c>
    </row>
    <row r="19" spans="1:3" s="183" customFormat="1" x14ac:dyDescent="0.25">
      <c r="B19" s="183" t="s">
        <v>500</v>
      </c>
      <c r="C19" s="182">
        <v>-316065.55000000028</v>
      </c>
    </row>
    <row r="20" spans="1:3" s="183" customFormat="1" x14ac:dyDescent="0.25">
      <c r="A20" s="183" t="s">
        <v>516</v>
      </c>
      <c r="B20" s="183" t="s">
        <v>517</v>
      </c>
      <c r="C20" s="182">
        <v>-402830.56999999983</v>
      </c>
    </row>
    <row r="21" spans="1:3" s="183" customFormat="1" x14ac:dyDescent="0.25">
      <c r="A21" s="183" t="s">
        <v>523</v>
      </c>
      <c r="B21" s="183" t="s">
        <v>524</v>
      </c>
      <c r="C21" s="182">
        <v>-497902.65999999992</v>
      </c>
    </row>
    <row r="22" spans="1:3" s="183" customFormat="1" x14ac:dyDescent="0.25">
      <c r="A22" s="183" t="s">
        <v>509</v>
      </c>
      <c r="B22" s="183" t="s">
        <v>520</v>
      </c>
      <c r="C22" s="182">
        <v>-565750.67000000016</v>
      </c>
    </row>
    <row r="23" spans="1:3" s="183" customFormat="1" x14ac:dyDescent="0.25">
      <c r="B23" s="183" t="s">
        <v>510</v>
      </c>
      <c r="C23" s="182">
        <v>-304332.2799999998</v>
      </c>
    </row>
    <row r="24" spans="1:3" s="183" customFormat="1" x14ac:dyDescent="0.25">
      <c r="A24" s="183" t="s">
        <v>511</v>
      </c>
      <c r="B24" s="183" t="s">
        <v>512</v>
      </c>
      <c r="C24" s="182">
        <v>-190909.35000000009</v>
      </c>
    </row>
    <row r="25" spans="1:3" x14ac:dyDescent="0.25">
      <c r="A25" t="s">
        <v>526</v>
      </c>
      <c r="B25" t="s">
        <v>527</v>
      </c>
      <c r="C25" s="181">
        <v>244372.14000000013</v>
      </c>
    </row>
    <row r="26" spans="1:3" s="183" customFormat="1" x14ac:dyDescent="0.25">
      <c r="A26" s="183" t="s">
        <v>542</v>
      </c>
      <c r="B26" s="183" t="s">
        <v>543</v>
      </c>
      <c r="C26" s="182">
        <v>-729858.94</v>
      </c>
    </row>
    <row r="27" spans="1:3" s="183" customFormat="1" x14ac:dyDescent="0.25">
      <c r="A27" s="183" t="s">
        <v>507</v>
      </c>
      <c r="B27" s="183" t="s">
        <v>508</v>
      </c>
      <c r="C27" s="182">
        <v>-61407.449999999953</v>
      </c>
    </row>
    <row r="28" spans="1:3" s="183" customFormat="1" x14ac:dyDescent="0.25">
      <c r="A28" s="183" t="s">
        <v>521</v>
      </c>
      <c r="B28" s="183" t="s">
        <v>522</v>
      </c>
      <c r="C28" s="182">
        <v>-100798.90999999992</v>
      </c>
    </row>
    <row r="29" spans="1:3" s="183" customFormat="1" x14ac:dyDescent="0.25">
      <c r="A29" s="183" t="s">
        <v>518</v>
      </c>
      <c r="B29" s="183" t="s">
        <v>519</v>
      </c>
      <c r="C29" s="182">
        <v>-75401.930000000168</v>
      </c>
    </row>
    <row r="30" spans="1:3" x14ac:dyDescent="0.25">
      <c r="A30" t="s">
        <v>538</v>
      </c>
      <c r="B30" t="s">
        <v>539</v>
      </c>
      <c r="C30" s="181">
        <v>150164.77000000002</v>
      </c>
    </row>
    <row r="31" spans="1:3" x14ac:dyDescent="0.25">
      <c r="A31" t="s">
        <v>536</v>
      </c>
      <c r="B31" t="s">
        <v>537</v>
      </c>
      <c r="C31" s="181">
        <v>92160.239999999991</v>
      </c>
    </row>
    <row r="32" spans="1:3" s="183" customFormat="1" x14ac:dyDescent="0.25">
      <c r="A32" s="183" t="s">
        <v>533</v>
      </c>
      <c r="B32" s="183" t="s">
        <v>525</v>
      </c>
      <c r="C32" s="182">
        <v>-3171.3999999999069</v>
      </c>
    </row>
    <row r="33" spans="1:3" s="183" customFormat="1" x14ac:dyDescent="0.25">
      <c r="A33" s="183" t="s">
        <v>515</v>
      </c>
      <c r="B33" s="183" t="s">
        <v>541</v>
      </c>
      <c r="C33" s="182">
        <v>-514439.50000000023</v>
      </c>
    </row>
    <row r="34" spans="1:3" x14ac:dyDescent="0.25">
      <c r="A34" t="s">
        <v>496</v>
      </c>
      <c r="B34" t="s">
        <v>497</v>
      </c>
      <c r="C34" s="181">
        <v>688150.15999999992</v>
      </c>
    </row>
    <row r="35" spans="1:3" x14ac:dyDescent="0.25">
      <c r="A35" t="s">
        <v>531</v>
      </c>
      <c r="B35" t="s">
        <v>532</v>
      </c>
      <c r="C35" s="181">
        <v>9870.4700000000885</v>
      </c>
    </row>
    <row r="36" spans="1:3" s="183" customFormat="1" x14ac:dyDescent="0.25">
      <c r="A36" s="183" t="s">
        <v>505</v>
      </c>
      <c r="B36" s="183" t="s">
        <v>506</v>
      </c>
      <c r="C36" s="182">
        <v>-210167.87000000011</v>
      </c>
    </row>
    <row r="37" spans="1:3" x14ac:dyDescent="0.25">
      <c r="A37" t="s">
        <v>466</v>
      </c>
      <c r="B37"/>
      <c r="C37" s="181">
        <v>-2732243.03</v>
      </c>
    </row>
    <row r="38" spans="1:3" s="183" customFormat="1" x14ac:dyDescent="0.25">
      <c r="A38"/>
      <c r="B38"/>
      <c r="C38"/>
    </row>
    <row r="39" spans="1:3" x14ac:dyDescent="0.25">
      <c r="B39"/>
    </row>
    <row r="40" spans="1:3" x14ac:dyDescent="0.25">
      <c r="B40"/>
    </row>
    <row r="41" spans="1:3" x14ac:dyDescent="0.25">
      <c r="B41"/>
    </row>
    <row r="42" spans="1:3" x14ac:dyDescent="0.25">
      <c r="B42"/>
    </row>
    <row r="43" spans="1:3" x14ac:dyDescent="0.25">
      <c r="B43"/>
    </row>
    <row r="44" spans="1:3" x14ac:dyDescent="0.25">
      <c r="B44"/>
    </row>
    <row r="45" spans="1:3" x14ac:dyDescent="0.25">
      <c r="B45"/>
    </row>
    <row r="46" spans="1:3" x14ac:dyDescent="0.25">
      <c r="B46"/>
    </row>
    <row r="47" spans="1:3" x14ac:dyDescent="0.25">
      <c r="B47"/>
    </row>
    <row r="48" spans="1:3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</sheetData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B129"/>
  <sheetViews>
    <sheetView topLeftCell="A104" workbookViewId="0">
      <selection activeCell="A116" sqref="A116"/>
    </sheetView>
  </sheetViews>
  <sheetFormatPr defaultColWidth="9.140625" defaultRowHeight="12.75" outlineLevelCol="1" x14ac:dyDescent="0.25"/>
  <cols>
    <col min="1" max="1" width="6.140625" style="130" customWidth="1"/>
    <col min="2" max="2" width="25.5703125" style="132" customWidth="1"/>
    <col min="3" max="3" width="29.42578125" style="132" customWidth="1"/>
    <col min="4" max="4" width="16.42578125" style="132" customWidth="1"/>
    <col min="5" max="5" width="9.140625" style="132" customWidth="1"/>
    <col min="6" max="6" width="13.42578125" style="132" customWidth="1"/>
    <col min="7" max="7" width="11.7109375" style="132" bestFit="1" customWidth="1"/>
    <col min="8" max="8" width="11.7109375" style="155" customWidth="1"/>
    <col min="9" max="9" width="14" style="132" customWidth="1"/>
    <col min="10" max="10" width="14" style="177" customWidth="1"/>
    <col min="11" max="12" width="14" style="132" customWidth="1"/>
    <col min="13" max="13" width="17.28515625" style="132" customWidth="1"/>
    <col min="14" max="14" width="13.28515625" style="132" customWidth="1"/>
    <col min="15" max="16" width="10.140625" style="132" customWidth="1"/>
    <col min="17" max="17" width="16.28515625" style="168" bestFit="1" customWidth="1"/>
    <col min="18" max="19" width="12.28515625" style="132" customWidth="1"/>
    <col min="20" max="21" width="14.7109375" style="132" customWidth="1"/>
    <col min="22" max="23" width="18.140625" style="132" hidden="1" customWidth="1" outlineLevel="1"/>
    <col min="24" max="24" width="18" style="132" hidden="1" customWidth="1" outlineLevel="1"/>
    <col min="25" max="25" width="13.140625" style="132" hidden="1" customWidth="1" outlineLevel="1"/>
    <col min="26" max="26" width="14.5703125" style="155" customWidth="1" collapsed="1"/>
    <col min="27" max="27" width="9.140625" style="132"/>
    <col min="28" max="28" width="11.28515625" style="202" bestFit="1" customWidth="1"/>
    <col min="29" max="16384" width="9.140625" style="132"/>
  </cols>
  <sheetData>
    <row r="1" spans="1:28" ht="15.75" x14ac:dyDescent="0.25">
      <c r="T1" s="170"/>
    </row>
    <row r="2" spans="1:28" s="131" customFormat="1" ht="102" x14ac:dyDescent="0.25">
      <c r="A2" s="135" t="s">
        <v>563</v>
      </c>
      <c r="B2" s="136" t="str">
        <f>Квар.реализация!B3</f>
        <v>Город, село</v>
      </c>
      <c r="C2" s="136" t="str">
        <f>Квар.реализация!C3</f>
        <v>Улица</v>
      </c>
      <c r="D2" s="136" t="str">
        <f>Квар.реализация!J3</f>
        <v>Площадь помещений, м2 с уч. коэфф. лоджий и балконов</v>
      </c>
      <c r="E2" s="136" t="str">
        <f>Квар.реализация!M3</f>
        <v>Год ввода в эксплуатацию</v>
      </c>
      <c r="F2" s="136" t="s">
        <v>580</v>
      </c>
      <c r="G2" s="136" t="s">
        <v>583</v>
      </c>
      <c r="H2" s="157" t="s">
        <v>584</v>
      </c>
      <c r="I2" s="136" t="s">
        <v>586</v>
      </c>
      <c r="J2" s="159" t="s">
        <v>585</v>
      </c>
      <c r="K2" s="136" t="str">
        <f>Квар.реализация!O3</f>
        <v>Балансовая стоимость квартир, руб.</v>
      </c>
      <c r="L2" s="136" t="s">
        <v>597</v>
      </c>
      <c r="M2" s="136" t="str">
        <f>Квар.реализация!AD3</f>
        <v>Цена объекта по акции, руб.</v>
      </c>
      <c r="N2" s="136" t="s">
        <v>572</v>
      </c>
      <c r="O2" s="136" t="s">
        <v>568</v>
      </c>
      <c r="P2" s="136" t="s">
        <v>569</v>
      </c>
      <c r="Q2" s="142" t="s">
        <v>573</v>
      </c>
      <c r="R2" s="140" t="s">
        <v>575</v>
      </c>
      <c r="S2" s="206" t="s">
        <v>598</v>
      </c>
      <c r="T2" s="173" t="s">
        <v>574</v>
      </c>
      <c r="U2" s="140" t="s">
        <v>576</v>
      </c>
      <c r="V2" s="146" t="s">
        <v>570</v>
      </c>
      <c r="W2" s="150" t="s">
        <v>578</v>
      </c>
      <c r="X2" s="151" t="s">
        <v>577</v>
      </c>
      <c r="Y2" s="131" t="s">
        <v>579</v>
      </c>
      <c r="Z2" s="155" t="s">
        <v>582</v>
      </c>
      <c r="AA2" s="155"/>
      <c r="AB2" s="203"/>
    </row>
    <row r="3" spans="1:28" ht="18" customHeight="1" x14ac:dyDescent="0.25">
      <c r="A3" s="137">
        <v>1</v>
      </c>
      <c r="B3" s="160" t="str">
        <f>Квар.реализация!B5</f>
        <v xml:space="preserve"> г. Баймак</v>
      </c>
      <c r="C3" s="160" t="str">
        <f>Квар.реализация!C5</f>
        <v>ул. Победы, д. 7</v>
      </c>
      <c r="D3" s="160">
        <f>Квар.реализация!J5</f>
        <v>46</v>
      </c>
      <c r="E3" s="204">
        <f>Квар.реализация!M5</f>
        <v>2012</v>
      </c>
      <c r="F3" s="204" t="s">
        <v>580</v>
      </c>
      <c r="G3" s="160">
        <v>1196000</v>
      </c>
      <c r="H3" s="161"/>
      <c r="I3" s="171">
        <f>G3-G3*H3</f>
        <v>1196000</v>
      </c>
      <c r="J3" s="205">
        <f>IF(I3-K3&lt;0,I3-K3,0)</f>
        <v>-81674.479999999981</v>
      </c>
      <c r="K3" s="160">
        <f>Квар.реализация!O5</f>
        <v>1277674.48</v>
      </c>
      <c r="L3" s="160">
        <f>I3-K3</f>
        <v>-81674.479999999981</v>
      </c>
      <c r="M3" s="160">
        <f>Квар.реализация!AD5</f>
        <v>1058000</v>
      </c>
      <c r="N3" s="160">
        <f>M3/D3</f>
        <v>23000</v>
      </c>
      <c r="O3" s="161">
        <f>(I3-M3)/I3</f>
        <v>0.11538461538461539</v>
      </c>
      <c r="P3" s="161">
        <f>(K3-M3)/K3</f>
        <v>0.17193305762826225</v>
      </c>
      <c r="Q3" s="143">
        <f>IF(P3&lt;20%,M3,ROUNDUP(K3*0.8/1000,0)*1000)</f>
        <v>1058000</v>
      </c>
      <c r="R3" s="160">
        <f>-PMT(9.4%/12,15*12,Q3*0.9)</f>
        <v>9885.730813276039</v>
      </c>
      <c r="S3" s="160">
        <f>2%*I3</f>
        <v>23920</v>
      </c>
      <c r="T3" s="171">
        <f>K3*(1/125/12*1.5+0/12)+5.2*D3+I3/15/12-S3/15/12</f>
        <v>8028.4300355555552</v>
      </c>
      <c r="U3" s="162" t="str">
        <f>IF(R3&lt;T3,(T3-R3)*12*15/I3,"")</f>
        <v/>
      </c>
      <c r="V3" s="147">
        <f>M3-K3</f>
        <v>-219674.47999999998</v>
      </c>
      <c r="W3" s="152" t="str">
        <f>IF(LEN(U3)&gt;0,I3*(1-U3),"")</f>
        <v/>
      </c>
      <c r="X3" s="153" t="str">
        <f>IF(OR((1-Q3/I3)&gt;U3,U3=""),"","Более 20%")</f>
        <v/>
      </c>
      <c r="Y3" s="132" t="e">
        <f>W3-K3</f>
        <v>#VALUE!</v>
      </c>
      <c r="Z3" s="155">
        <f>(T3-R3)/R3</f>
        <v>-0.18787693219667911</v>
      </c>
      <c r="AA3" s="132">
        <f>T3-R3</f>
        <v>-1857.3007777204839</v>
      </c>
      <c r="AB3" s="202">
        <f>Q3-G3</f>
        <v>-138000</v>
      </c>
    </row>
    <row r="4" spans="1:28" ht="18" customHeight="1" x14ac:dyDescent="0.25">
      <c r="A4" s="138">
        <v>2</v>
      </c>
      <c r="B4" s="163" t="str">
        <f>Квар.реализация!B6</f>
        <v xml:space="preserve"> г. Баймак</v>
      </c>
      <c r="C4" s="163" t="str">
        <f>Квар.реализация!C6</f>
        <v>ул. Победы, д. 7</v>
      </c>
      <c r="D4" s="163">
        <f>Квар.реализация!J6</f>
        <v>46.1</v>
      </c>
      <c r="E4" s="166">
        <f>Квар.реализация!M6</f>
        <v>2012</v>
      </c>
      <c r="F4" s="204" t="s">
        <v>580</v>
      </c>
      <c r="G4" s="160">
        <v>1198600</v>
      </c>
      <c r="H4" s="161"/>
      <c r="I4" s="172">
        <f>G4-G4*H4</f>
        <v>1198600</v>
      </c>
      <c r="J4" s="205">
        <f>IF(I4-K4&lt;0,I4-K4,0)</f>
        <v>-255443.35000000009</v>
      </c>
      <c r="K4" s="163">
        <f>Квар.реализация!O6</f>
        <v>1454043.35</v>
      </c>
      <c r="L4" s="160">
        <f>I4-K4</f>
        <v>-255443.35000000009</v>
      </c>
      <c r="M4" s="163">
        <f>Квар.реализация!AD6</f>
        <v>1060300</v>
      </c>
      <c r="N4" s="160">
        <f>M4/D4</f>
        <v>23000</v>
      </c>
      <c r="O4" s="164">
        <f>(I4-M4)/I4</f>
        <v>0.11538461538461539</v>
      </c>
      <c r="P4" s="164">
        <f>(K4-M4)/K4</f>
        <v>0.27079202968742305</v>
      </c>
      <c r="Q4" s="144">
        <f>IF(P4&lt;20%,M4,ROUNDUP(K4*0.8/1000,0)*1000)</f>
        <v>1164000</v>
      </c>
      <c r="R4" s="163">
        <f>-PMT(9.4%/12,15*12,Q4*0.9)</f>
        <v>10876.172652791407</v>
      </c>
      <c r="S4" s="160">
        <f>2%*I4</f>
        <v>23972</v>
      </c>
      <c r="T4" s="171">
        <f>K4*(1/125/12*1.5+0/12)+5.2*D4+I4/15/12-S4/15/12</f>
        <v>8219.4744611111128</v>
      </c>
      <c r="U4" s="165" t="str">
        <f>IF(R4&lt;T4,(T4-R4)*12*15/I4,"")</f>
        <v/>
      </c>
      <c r="V4" s="148">
        <f>M4-K4</f>
        <v>-393743.35000000009</v>
      </c>
      <c r="W4" s="152" t="str">
        <f>IF(LEN(U4)&gt;0,I4*(1-U4),"")</f>
        <v/>
      </c>
      <c r="X4" s="153" t="str">
        <f>IF(OR((1-Q4/I4)&gt;U4,U4=""),"","Более 20%")</f>
        <v/>
      </c>
      <c r="Y4" s="132" t="e">
        <f>W4-K4</f>
        <v>#VALUE!</v>
      </c>
      <c r="Z4" s="155">
        <f>(T4-R4)/R4</f>
        <v>-0.2442677471654924</v>
      </c>
      <c r="AA4" s="132">
        <f>T4-R4</f>
        <v>-2656.6981916802943</v>
      </c>
      <c r="AB4" s="202">
        <f>Q4-G4</f>
        <v>-34600</v>
      </c>
    </row>
    <row r="5" spans="1:28" ht="18" customHeight="1" x14ac:dyDescent="0.25">
      <c r="A5" s="138">
        <v>3</v>
      </c>
      <c r="B5" s="163" t="str">
        <f>Квар.реализация!B7</f>
        <v xml:space="preserve"> г. Баймак</v>
      </c>
      <c r="C5" s="163" t="str">
        <f>Квар.реализация!C7</f>
        <v>ул. Победы, д. 7</v>
      </c>
      <c r="D5" s="163">
        <f>Квар.реализация!J7</f>
        <v>46.1</v>
      </c>
      <c r="E5" s="166">
        <f>Квар.реализация!M7</f>
        <v>2012</v>
      </c>
      <c r="F5" s="204" t="s">
        <v>580</v>
      </c>
      <c r="G5" s="160">
        <v>1198600</v>
      </c>
      <c r="H5" s="161"/>
      <c r="I5" s="172">
        <f>G5-G5*H5</f>
        <v>1198600</v>
      </c>
      <c r="J5" s="205">
        <f>IF(I5-K5&lt;0,I5-K5,0)</f>
        <v>-255443.37000000011</v>
      </c>
      <c r="K5" s="163">
        <f>Квар.реализация!O7</f>
        <v>1454043.37</v>
      </c>
      <c r="L5" s="160">
        <f>I5-K5</f>
        <v>-255443.37000000011</v>
      </c>
      <c r="M5" s="163">
        <f>Квар.реализация!AD7</f>
        <v>1060300</v>
      </c>
      <c r="N5" s="160">
        <f>M5/D5</f>
        <v>23000</v>
      </c>
      <c r="O5" s="164">
        <f t="shared" ref="O5:O28" si="0">(I5-M5)/I5</f>
        <v>0.11538461538461539</v>
      </c>
      <c r="P5" s="164">
        <f t="shared" ref="P5:P28" si="1">(K5-M5)/K5</f>
        <v>0.27079203971749488</v>
      </c>
      <c r="Q5" s="144">
        <f>IF(P5&lt;20%,M5,ROUNDUP(K5*0.8/1000,0)*1000)</f>
        <v>1164000</v>
      </c>
      <c r="R5" s="163">
        <f>-PMT(9.4%/12,15*12,Q5*0.9)</f>
        <v>10876.172652791407</v>
      </c>
      <c r="S5" s="160">
        <f>2%*I5</f>
        <v>23972</v>
      </c>
      <c r="T5" s="171">
        <f>K5*(1/125/12*1.5+0/12)+5.2*D5+I5/15/12-S5/15/12</f>
        <v>8219.4744811111123</v>
      </c>
      <c r="U5" s="165" t="str">
        <f>IF(R5&lt;T5,(T5-R5)*12*15/I5,"")</f>
        <v/>
      </c>
      <c r="V5" s="148">
        <f>M5-K5</f>
        <v>-393743.37000000011</v>
      </c>
      <c r="W5" s="152" t="str">
        <f>IF(LEN(U5)&gt;0,I5*(1-U5),"")</f>
        <v/>
      </c>
      <c r="X5" s="153" t="str">
        <f>IF(OR((1-Q5/I5)&gt;U5,U5=""),"","Более 20%")</f>
        <v/>
      </c>
      <c r="Y5" s="132" t="e">
        <f>W5-K5</f>
        <v>#VALUE!</v>
      </c>
      <c r="Z5" s="155">
        <f>(T5-R5)/R5</f>
        <v>-0.24426774532661027</v>
      </c>
      <c r="AA5" s="132">
        <f>T5-R5</f>
        <v>-2656.6981716802948</v>
      </c>
      <c r="AB5" s="202">
        <f>Q5-G5</f>
        <v>-34600</v>
      </c>
    </row>
    <row r="6" spans="1:28" ht="18" customHeight="1" x14ac:dyDescent="0.25">
      <c r="A6" s="138">
        <v>4</v>
      </c>
      <c r="B6" s="163" t="str">
        <f>Квар.реализация!B15</f>
        <v xml:space="preserve"> г. Баймак</v>
      </c>
      <c r="C6" s="163" t="str">
        <f>Квар.реализация!C15</f>
        <v>ул. Чекмарева, д. 3а</v>
      </c>
      <c r="D6" s="163">
        <f>Квар.реализация!J15</f>
        <v>47.8</v>
      </c>
      <c r="E6" s="166">
        <f>Квар.реализация!M15</f>
        <v>2014</v>
      </c>
      <c r="F6" s="204" t="s">
        <v>580</v>
      </c>
      <c r="G6" s="160">
        <v>1242800</v>
      </c>
      <c r="H6" s="161"/>
      <c r="I6" s="172">
        <f t="shared" ref="I6:I28" si="2">G6-G6*H6</f>
        <v>1242800</v>
      </c>
      <c r="J6" s="205">
        <f t="shared" ref="J6:J28" si="3">IF(I6-K6&lt;0,I6-K6,0)</f>
        <v>0</v>
      </c>
      <c r="K6" s="163">
        <f>Квар.реализация!O15</f>
        <v>1104265.96</v>
      </c>
      <c r="L6" s="160">
        <f t="shared" ref="L6:L28" si="4">I6-K6</f>
        <v>138534.04000000004</v>
      </c>
      <c r="M6" s="163">
        <f>Квар.реализация!AD15</f>
        <v>956000</v>
      </c>
      <c r="N6" s="160">
        <f t="shared" ref="N6:N28" si="5">M6/D6</f>
        <v>20000</v>
      </c>
      <c r="O6" s="164">
        <f t="shared" si="0"/>
        <v>0.23076923076923078</v>
      </c>
      <c r="P6" s="164">
        <f t="shared" si="1"/>
        <v>0.13426653122586515</v>
      </c>
      <c r="Q6" s="143">
        <f t="shared" ref="Q6:Q28" si="6">IF(P6&lt;20%,M6,ROUNDUP(K6*0.8/1000,0)*1000)</f>
        <v>956000</v>
      </c>
      <c r="R6" s="160">
        <f t="shared" ref="R6:R28" si="7">-PMT(9.4%/12,15*12,Q6*0.9)</f>
        <v>8932.664137515967</v>
      </c>
      <c r="S6" s="160">
        <f t="shared" ref="S6:S28" si="8">2%*I6</f>
        <v>24856</v>
      </c>
      <c r="T6" s="171">
        <f t="shared" ref="T6:T28" si="9">K6*(1/125/12*1.5+0/12)+5.2*D6+I6/15/12-S6/15/12</f>
        <v>8119.1815155555551</v>
      </c>
      <c r="U6" s="162" t="str">
        <f t="shared" ref="U6:U29" si="10">IF(R6&lt;T6,(T6-R6)*12*15/I6,"")</f>
        <v/>
      </c>
      <c r="V6" s="148">
        <f t="shared" ref="V6:V28" si="11">M6-K6</f>
        <v>-148265.95999999996</v>
      </c>
      <c r="W6" s="152" t="str">
        <f t="shared" ref="W6:W28" si="12">IF(LEN(U6)&gt;0,I6*(1-U6),"")</f>
        <v/>
      </c>
      <c r="X6" s="153" t="str">
        <f t="shared" ref="X6:X29" si="13">IF(OR((1-Q6/I6)&gt;U6,U6=""),"","Более 20%")</f>
        <v/>
      </c>
      <c r="Y6" s="132" t="e">
        <f t="shared" ref="Y6:Y28" si="14">W6-K6</f>
        <v>#VALUE!</v>
      </c>
      <c r="Z6" s="155">
        <f t="shared" ref="Z6:Z28" si="15">(T6-R6)/R6</f>
        <v>-9.1068309458081628E-2</v>
      </c>
      <c r="AA6" s="132">
        <f t="shared" ref="AA6:AA28" si="16">T6-R6</f>
        <v>-813.48262196041196</v>
      </c>
      <c r="AB6" s="202">
        <f t="shared" ref="AB6:AB28" si="17">Q6-G6</f>
        <v>-286800</v>
      </c>
    </row>
    <row r="7" spans="1:28" ht="18" customHeight="1" x14ac:dyDescent="0.25">
      <c r="A7" s="138">
        <v>5</v>
      </c>
      <c r="B7" s="163" t="str">
        <f>Квар.реализация!B16</f>
        <v xml:space="preserve"> г. Баймак</v>
      </c>
      <c r="C7" s="163" t="str">
        <f>Квар.реализация!C16</f>
        <v>ул. Чекмарева, д. 3а</v>
      </c>
      <c r="D7" s="163">
        <f>Квар.реализация!J16</f>
        <v>47.1</v>
      </c>
      <c r="E7" s="166">
        <f>Квар.реализация!M16</f>
        <v>2014</v>
      </c>
      <c r="F7" s="204" t="s">
        <v>580</v>
      </c>
      <c r="G7" s="160">
        <v>1224600</v>
      </c>
      <c r="H7" s="161"/>
      <c r="I7" s="172">
        <f t="shared" si="2"/>
        <v>1224600</v>
      </c>
      <c r="J7" s="205">
        <f t="shared" si="3"/>
        <v>0</v>
      </c>
      <c r="K7" s="163">
        <f>Квар.реализация!O16</f>
        <v>1088493.21</v>
      </c>
      <c r="L7" s="160">
        <f t="shared" si="4"/>
        <v>136106.79000000004</v>
      </c>
      <c r="M7" s="163">
        <f>Квар.реализация!AD16</f>
        <v>942000</v>
      </c>
      <c r="N7" s="160">
        <f t="shared" si="5"/>
        <v>20000</v>
      </c>
      <c r="O7" s="164">
        <f t="shared" si="0"/>
        <v>0.23076923076923078</v>
      </c>
      <c r="P7" s="164">
        <f t="shared" si="1"/>
        <v>0.13458348536689538</v>
      </c>
      <c r="Q7" s="143">
        <f t="shared" si="6"/>
        <v>942000</v>
      </c>
      <c r="R7" s="160">
        <f t="shared" si="7"/>
        <v>8801.8510643724276</v>
      </c>
      <c r="S7" s="160">
        <f t="shared" si="8"/>
        <v>24492</v>
      </c>
      <c r="T7" s="171">
        <f t="shared" si="9"/>
        <v>8000.6798766666661</v>
      </c>
      <c r="U7" s="162" t="str">
        <f t="shared" si="10"/>
        <v/>
      </c>
      <c r="V7" s="148">
        <f t="shared" si="11"/>
        <v>-146493.20999999996</v>
      </c>
      <c r="W7" s="152" t="str">
        <f t="shared" si="12"/>
        <v/>
      </c>
      <c r="X7" s="153" t="str">
        <f t="shared" si="13"/>
        <v/>
      </c>
      <c r="Y7" s="132" t="e">
        <f t="shared" si="14"/>
        <v>#VALUE!</v>
      </c>
      <c r="Z7" s="155">
        <f t="shared" si="15"/>
        <v>-9.1023033887575211E-2</v>
      </c>
      <c r="AA7" s="132">
        <f t="shared" si="16"/>
        <v>-801.17118770576144</v>
      </c>
      <c r="AB7" s="202">
        <f t="shared" si="17"/>
        <v>-282600</v>
      </c>
    </row>
    <row r="8" spans="1:28" ht="18" customHeight="1" x14ac:dyDescent="0.25">
      <c r="A8" s="138">
        <v>6</v>
      </c>
      <c r="B8" s="163" t="str">
        <f>Квар.реализация!B17</f>
        <v xml:space="preserve"> г. Баймак</v>
      </c>
      <c r="C8" s="163" t="str">
        <f>Квар.реализация!C17</f>
        <v>ул. Чекмарева, д. 3а</v>
      </c>
      <c r="D8" s="163">
        <f>Квар.реализация!J17</f>
        <v>46.7</v>
      </c>
      <c r="E8" s="166">
        <f>Квар.реализация!M17</f>
        <v>2014</v>
      </c>
      <c r="F8" s="204" t="s">
        <v>580</v>
      </c>
      <c r="G8" s="160">
        <v>1214200</v>
      </c>
      <c r="H8" s="161"/>
      <c r="I8" s="172">
        <f t="shared" si="2"/>
        <v>1214200</v>
      </c>
      <c r="J8" s="205">
        <f t="shared" si="3"/>
        <v>0</v>
      </c>
      <c r="K8" s="163">
        <f>Квар.реализация!O17</f>
        <v>1078181.71</v>
      </c>
      <c r="L8" s="160">
        <f t="shared" si="4"/>
        <v>136018.29000000004</v>
      </c>
      <c r="M8" s="163">
        <f>Квар.реализация!AD17</f>
        <v>934000</v>
      </c>
      <c r="N8" s="160">
        <f t="shared" si="5"/>
        <v>20000</v>
      </c>
      <c r="O8" s="164">
        <f t="shared" si="0"/>
        <v>0.23076923076923078</v>
      </c>
      <c r="P8" s="164">
        <f t="shared" si="1"/>
        <v>0.13372672589669507</v>
      </c>
      <c r="Q8" s="143">
        <f t="shared" si="6"/>
        <v>934000</v>
      </c>
      <c r="R8" s="160">
        <f t="shared" si="7"/>
        <v>8727.1007368618339</v>
      </c>
      <c r="S8" s="160">
        <f t="shared" si="8"/>
        <v>24284</v>
      </c>
      <c r="T8" s="171">
        <f t="shared" si="9"/>
        <v>7931.6661544444441</v>
      </c>
      <c r="U8" s="162" t="str">
        <f t="shared" si="10"/>
        <v/>
      </c>
      <c r="V8" s="148">
        <f t="shared" si="11"/>
        <v>-144181.70999999996</v>
      </c>
      <c r="W8" s="152" t="str">
        <f t="shared" si="12"/>
        <v/>
      </c>
      <c r="X8" s="153" t="str">
        <f t="shared" si="13"/>
        <v/>
      </c>
      <c r="Y8" s="132" t="e">
        <f t="shared" si="14"/>
        <v>#VALUE!</v>
      </c>
      <c r="Z8" s="155">
        <f t="shared" si="15"/>
        <v>-9.1145342124630838E-2</v>
      </c>
      <c r="AA8" s="132">
        <f t="shared" si="16"/>
        <v>-795.43458241738972</v>
      </c>
      <c r="AB8" s="202">
        <f t="shared" si="17"/>
        <v>-280200</v>
      </c>
    </row>
    <row r="9" spans="1:28" ht="18" customHeight="1" x14ac:dyDescent="0.25">
      <c r="A9" s="138">
        <v>7</v>
      </c>
      <c r="B9" s="163" t="str">
        <f>Квар.реализация!B18</f>
        <v xml:space="preserve"> г. Баймак</v>
      </c>
      <c r="C9" s="163" t="str">
        <f>Квар.реализация!C18</f>
        <v>ул. Чекмарева, д. 3а</v>
      </c>
      <c r="D9" s="163">
        <f>Квар.реализация!J18</f>
        <v>46.8</v>
      </c>
      <c r="E9" s="166">
        <f>Квар.реализация!M18</f>
        <v>2014</v>
      </c>
      <c r="F9" s="204" t="s">
        <v>580</v>
      </c>
      <c r="G9" s="160">
        <v>1216800</v>
      </c>
      <c r="H9" s="161"/>
      <c r="I9" s="172">
        <f t="shared" si="2"/>
        <v>1216800</v>
      </c>
      <c r="J9" s="205">
        <f t="shared" si="3"/>
        <v>0</v>
      </c>
      <c r="K9" s="163">
        <f>Квар.реализация!O18</f>
        <v>1068753.73</v>
      </c>
      <c r="L9" s="160">
        <f t="shared" si="4"/>
        <v>148046.27000000002</v>
      </c>
      <c r="M9" s="163">
        <f>Квар.реализация!AD18</f>
        <v>936000</v>
      </c>
      <c r="N9" s="160">
        <f t="shared" si="5"/>
        <v>20000</v>
      </c>
      <c r="O9" s="164">
        <f t="shared" si="0"/>
        <v>0.23076923076923078</v>
      </c>
      <c r="P9" s="164">
        <f t="shared" si="1"/>
        <v>0.12421358286160085</v>
      </c>
      <c r="Q9" s="143">
        <f t="shared" si="6"/>
        <v>936000</v>
      </c>
      <c r="R9" s="160">
        <f t="shared" si="7"/>
        <v>8745.7883187394837</v>
      </c>
      <c r="S9" s="160">
        <f t="shared" si="8"/>
        <v>24336</v>
      </c>
      <c r="T9" s="171">
        <f t="shared" si="9"/>
        <v>7936.9137300000002</v>
      </c>
      <c r="U9" s="162" t="str">
        <f t="shared" si="10"/>
        <v/>
      </c>
      <c r="V9" s="148">
        <f t="shared" si="11"/>
        <v>-132753.72999999998</v>
      </c>
      <c r="W9" s="152" t="str">
        <f t="shared" si="12"/>
        <v/>
      </c>
      <c r="X9" s="153" t="str">
        <f t="shared" si="13"/>
        <v/>
      </c>
      <c r="Y9" s="132" t="e">
        <f t="shared" si="14"/>
        <v>#VALUE!</v>
      </c>
      <c r="Z9" s="155">
        <f t="shared" si="15"/>
        <v>-9.2487327529562846E-2</v>
      </c>
      <c r="AA9" s="132">
        <f t="shared" si="16"/>
        <v>-808.87458873948344</v>
      </c>
      <c r="AB9" s="202">
        <f t="shared" si="17"/>
        <v>-280800</v>
      </c>
    </row>
    <row r="10" spans="1:28" ht="18" customHeight="1" x14ac:dyDescent="0.25">
      <c r="A10" s="138">
        <v>8</v>
      </c>
      <c r="B10" s="163" t="str">
        <f>Квар.реализация!B19</f>
        <v xml:space="preserve"> г. Баймак</v>
      </c>
      <c r="C10" s="163" t="str">
        <f>Квар.реализация!C19</f>
        <v>ул. Чекмарева, д. 3а</v>
      </c>
      <c r="D10" s="163">
        <f>Квар.реализация!J19</f>
        <v>47.2</v>
      </c>
      <c r="E10" s="166">
        <f>Квар.реализация!M19</f>
        <v>2014</v>
      </c>
      <c r="F10" s="204" t="s">
        <v>580</v>
      </c>
      <c r="G10" s="160">
        <v>1227200</v>
      </c>
      <c r="H10" s="161"/>
      <c r="I10" s="172">
        <f t="shared" si="2"/>
        <v>1227200</v>
      </c>
      <c r="J10" s="205">
        <f t="shared" si="3"/>
        <v>0</v>
      </c>
      <c r="K10" s="163">
        <f>Квар.реализация!O19</f>
        <v>1077822.82</v>
      </c>
      <c r="L10" s="160">
        <f t="shared" si="4"/>
        <v>149377.17999999993</v>
      </c>
      <c r="M10" s="163">
        <f>Квар.реализация!AD19</f>
        <v>944000</v>
      </c>
      <c r="N10" s="160">
        <f t="shared" si="5"/>
        <v>20000</v>
      </c>
      <c r="O10" s="164">
        <f t="shared" si="0"/>
        <v>0.23076923076923078</v>
      </c>
      <c r="P10" s="164">
        <f t="shared" si="1"/>
        <v>0.12416031421565193</v>
      </c>
      <c r="Q10" s="143">
        <f t="shared" si="6"/>
        <v>944000</v>
      </c>
      <c r="R10" s="160">
        <f t="shared" si="7"/>
        <v>8820.5386462500755</v>
      </c>
      <c r="S10" s="160">
        <f t="shared" si="8"/>
        <v>24544</v>
      </c>
      <c r="T10" s="171">
        <f t="shared" si="9"/>
        <v>8004.6850422222215</v>
      </c>
      <c r="U10" s="162" t="str">
        <f t="shared" si="10"/>
        <v/>
      </c>
      <c r="V10" s="148">
        <f t="shared" si="11"/>
        <v>-133822.82000000007</v>
      </c>
      <c r="W10" s="152" t="str">
        <f t="shared" si="12"/>
        <v/>
      </c>
      <c r="X10" s="153" t="str">
        <f t="shared" si="13"/>
        <v/>
      </c>
      <c r="Y10" s="132" t="e">
        <f t="shared" si="14"/>
        <v>#VALUE!</v>
      </c>
      <c r="Z10" s="155">
        <f t="shared" si="15"/>
        <v>-9.2494759872142548E-2</v>
      </c>
      <c r="AA10" s="132">
        <f t="shared" si="16"/>
        <v>-815.85360402785409</v>
      </c>
      <c r="AB10" s="202">
        <f t="shared" si="17"/>
        <v>-283200</v>
      </c>
    </row>
    <row r="11" spans="1:28" ht="18" customHeight="1" x14ac:dyDescent="0.25">
      <c r="A11" s="138">
        <v>9</v>
      </c>
      <c r="B11" s="163" t="str">
        <f>Квар.реализация!B47</f>
        <v xml:space="preserve"> г. Кумертау</v>
      </c>
      <c r="C11" s="163" t="str">
        <f>Квар.реализация!C47</f>
        <v>ул. Энергетиков, д. 25, в 6 м на запад</v>
      </c>
      <c r="D11" s="163">
        <f>Квар.реализация!J47</f>
        <v>60</v>
      </c>
      <c r="E11" s="166">
        <f>Квар.реализация!M47</f>
        <v>2015</v>
      </c>
      <c r="F11" s="166"/>
      <c r="G11" s="160">
        <v>1902000</v>
      </c>
      <c r="H11" s="161"/>
      <c r="I11" s="172">
        <f t="shared" si="2"/>
        <v>1902000</v>
      </c>
      <c r="J11" s="175">
        <f t="shared" si="3"/>
        <v>0</v>
      </c>
      <c r="K11" s="163">
        <f>Квар.реализация!O47</f>
        <v>1699330.98</v>
      </c>
      <c r="L11" s="160">
        <f t="shared" si="4"/>
        <v>202669.02000000002</v>
      </c>
      <c r="M11" s="163">
        <f>Квар.реализация!AD47</f>
        <v>1560000</v>
      </c>
      <c r="N11" s="160">
        <f t="shared" si="5"/>
        <v>26000</v>
      </c>
      <c r="O11" s="164">
        <f t="shared" si="0"/>
        <v>0.17981072555205047</v>
      </c>
      <c r="P11" s="164">
        <f t="shared" si="1"/>
        <v>8.1991667097130183E-2</v>
      </c>
      <c r="Q11" s="143">
        <f t="shared" si="6"/>
        <v>1560000</v>
      </c>
      <c r="R11" s="160">
        <f t="shared" si="7"/>
        <v>14576.313864565804</v>
      </c>
      <c r="S11" s="160">
        <f t="shared" si="8"/>
        <v>38040</v>
      </c>
      <c r="T11" s="171">
        <f t="shared" si="9"/>
        <v>12366.664313333333</v>
      </c>
      <c r="U11" s="162" t="str">
        <f t="shared" si="10"/>
        <v/>
      </c>
      <c r="V11" s="148">
        <f t="shared" si="11"/>
        <v>-139330.97999999998</v>
      </c>
      <c r="W11" s="152" t="str">
        <f t="shared" si="12"/>
        <v/>
      </c>
      <c r="X11" s="153" t="str">
        <f t="shared" si="13"/>
        <v/>
      </c>
      <c r="Y11" s="132" t="e">
        <f t="shared" si="14"/>
        <v>#VALUE!</v>
      </c>
      <c r="Z11" s="155">
        <f t="shared" si="15"/>
        <v>-0.15159179280599908</v>
      </c>
      <c r="AA11" s="132">
        <f t="shared" si="16"/>
        <v>-2209.6495512324709</v>
      </c>
      <c r="AB11" s="202">
        <f t="shared" si="17"/>
        <v>-342000</v>
      </c>
    </row>
    <row r="12" spans="1:28" ht="18" customHeight="1" x14ac:dyDescent="0.25">
      <c r="A12" s="138">
        <v>10</v>
      </c>
      <c r="B12" s="163" t="str">
        <f>Квар.реализация!B48</f>
        <v xml:space="preserve"> г. Кумертау</v>
      </c>
      <c r="C12" s="163" t="str">
        <f>Квар.реализация!C48</f>
        <v>ул. Энергетиков, д. 25, в 6 м на запад</v>
      </c>
      <c r="D12" s="163">
        <f>Квар.реализация!J48</f>
        <v>60.8</v>
      </c>
      <c r="E12" s="166">
        <f>Квар.реализация!M48</f>
        <v>2015</v>
      </c>
      <c r="F12" s="166"/>
      <c r="G12" s="160">
        <v>1927360</v>
      </c>
      <c r="H12" s="161"/>
      <c r="I12" s="172">
        <f t="shared" si="2"/>
        <v>1927360</v>
      </c>
      <c r="J12" s="175">
        <f t="shared" si="3"/>
        <v>0</v>
      </c>
      <c r="K12" s="163">
        <f>Квар.реализация!O48</f>
        <v>1699330.98</v>
      </c>
      <c r="L12" s="160">
        <f t="shared" si="4"/>
        <v>228029.02000000002</v>
      </c>
      <c r="M12" s="163">
        <f>Квар.реализация!AD48</f>
        <v>1580800</v>
      </c>
      <c r="N12" s="160">
        <f t="shared" si="5"/>
        <v>26000</v>
      </c>
      <c r="O12" s="164">
        <f t="shared" si="0"/>
        <v>0.17981072555205047</v>
      </c>
      <c r="P12" s="164">
        <f t="shared" si="1"/>
        <v>6.9751555991758585E-2</v>
      </c>
      <c r="Q12" s="143">
        <f t="shared" si="6"/>
        <v>1580800</v>
      </c>
      <c r="R12" s="160">
        <f t="shared" si="7"/>
        <v>14770.664716093348</v>
      </c>
      <c r="S12" s="160">
        <f t="shared" si="8"/>
        <v>38547.200000000004</v>
      </c>
      <c r="T12" s="171">
        <f t="shared" si="9"/>
        <v>12508.895424444447</v>
      </c>
      <c r="U12" s="162" t="str">
        <f t="shared" si="10"/>
        <v/>
      </c>
      <c r="V12" s="148">
        <f t="shared" si="11"/>
        <v>-118530.97999999998</v>
      </c>
      <c r="W12" s="152" t="str">
        <f t="shared" si="12"/>
        <v/>
      </c>
      <c r="X12" s="153" t="str">
        <f t="shared" si="13"/>
        <v/>
      </c>
      <c r="Y12" s="132" t="e">
        <f t="shared" si="14"/>
        <v>#VALUE!</v>
      </c>
      <c r="Z12" s="155">
        <f t="shared" si="15"/>
        <v>-0.15312576211851828</v>
      </c>
      <c r="AA12" s="132">
        <f t="shared" si="16"/>
        <v>-2261.7692916489013</v>
      </c>
      <c r="AB12" s="202">
        <f t="shared" si="17"/>
        <v>-346560</v>
      </c>
    </row>
    <row r="13" spans="1:28" ht="18" customHeight="1" x14ac:dyDescent="0.25">
      <c r="A13" s="138">
        <v>11</v>
      </c>
      <c r="B13" s="163" t="str">
        <f>Квар.реализация!B49</f>
        <v xml:space="preserve"> г. Кумертау</v>
      </c>
      <c r="C13" s="163" t="str">
        <f>Квар.реализация!C49</f>
        <v>ул. Энергетиков, д. 25, в 6 м на запад</v>
      </c>
      <c r="D13" s="163">
        <f>Квар.реализация!J49</f>
        <v>60.2</v>
      </c>
      <c r="E13" s="166">
        <f>Квар.реализация!M49</f>
        <v>2015</v>
      </c>
      <c r="F13" s="166"/>
      <c r="G13" s="160">
        <v>1908340</v>
      </c>
      <c r="H13" s="161"/>
      <c r="I13" s="172">
        <f t="shared" si="2"/>
        <v>1908340</v>
      </c>
      <c r="J13" s="175">
        <f t="shared" si="3"/>
        <v>0</v>
      </c>
      <c r="K13" s="163">
        <f>Квар.реализация!O49</f>
        <v>1699330.98</v>
      </c>
      <c r="L13" s="160">
        <f t="shared" si="4"/>
        <v>209009.02000000002</v>
      </c>
      <c r="M13" s="163">
        <f>Квар.реализация!AD49</f>
        <v>1565200</v>
      </c>
      <c r="N13" s="160">
        <f t="shared" si="5"/>
        <v>26000</v>
      </c>
      <c r="O13" s="164">
        <f t="shared" si="0"/>
        <v>0.17981072555205047</v>
      </c>
      <c r="P13" s="164">
        <f t="shared" si="1"/>
        <v>7.8931639320787284E-2</v>
      </c>
      <c r="Q13" s="143">
        <f t="shared" si="6"/>
        <v>1565200</v>
      </c>
      <c r="R13" s="160">
        <f t="shared" si="7"/>
        <v>14624.90157744769</v>
      </c>
      <c r="S13" s="160">
        <f t="shared" si="8"/>
        <v>38166.800000000003</v>
      </c>
      <c r="T13" s="171">
        <f t="shared" si="9"/>
        <v>12402.222091111111</v>
      </c>
      <c r="U13" s="162" t="str">
        <f t="shared" si="10"/>
        <v/>
      </c>
      <c r="V13" s="148">
        <f t="shared" si="11"/>
        <v>-134130.97999999998</v>
      </c>
      <c r="W13" s="152" t="str">
        <f t="shared" si="12"/>
        <v/>
      </c>
      <c r="X13" s="153" t="str">
        <f t="shared" si="13"/>
        <v/>
      </c>
      <c r="Y13" s="132" t="e">
        <f t="shared" si="14"/>
        <v>#VALUE!</v>
      </c>
      <c r="Z13" s="155">
        <f t="shared" si="15"/>
        <v>-0.15197910731680131</v>
      </c>
      <c r="AA13" s="132">
        <f t="shared" si="16"/>
        <v>-2222.6794863365794</v>
      </c>
      <c r="AB13" s="202">
        <f t="shared" si="17"/>
        <v>-343140</v>
      </c>
    </row>
    <row r="14" spans="1:28" ht="18" customHeight="1" x14ac:dyDescent="0.25">
      <c r="A14" s="138">
        <v>12</v>
      </c>
      <c r="B14" s="163" t="str">
        <f>Квар.реализация!B50</f>
        <v xml:space="preserve"> г. Кумертау</v>
      </c>
      <c r="C14" s="163" t="str">
        <f>Квар.реализация!C50</f>
        <v>ул. Энергетиков, д. 25, в 6 м на запад</v>
      </c>
      <c r="D14" s="163">
        <f>Квар.реализация!J50</f>
        <v>48.3</v>
      </c>
      <c r="E14" s="166">
        <f>Квар.реализация!M50</f>
        <v>2015</v>
      </c>
      <c r="F14" s="166"/>
      <c r="G14" s="160">
        <v>1531110</v>
      </c>
      <c r="H14" s="161"/>
      <c r="I14" s="172">
        <f t="shared" si="2"/>
        <v>1531110</v>
      </c>
      <c r="J14" s="175">
        <f t="shared" si="3"/>
        <v>0</v>
      </c>
      <c r="K14" s="163">
        <f>Квар.реализация!O50</f>
        <v>1346045.34</v>
      </c>
      <c r="L14" s="160">
        <f t="shared" si="4"/>
        <v>185064.65999999992</v>
      </c>
      <c r="M14" s="163">
        <f>Квар.реализация!AD50</f>
        <v>1255800</v>
      </c>
      <c r="N14" s="160">
        <f t="shared" si="5"/>
        <v>26000</v>
      </c>
      <c r="O14" s="164">
        <f t="shared" si="0"/>
        <v>0.17981072555205047</v>
      </c>
      <c r="P14" s="164">
        <f t="shared" si="1"/>
        <v>6.7044799545905392E-2</v>
      </c>
      <c r="Q14" s="143">
        <f t="shared" si="6"/>
        <v>1255800</v>
      </c>
      <c r="R14" s="160">
        <f t="shared" si="7"/>
        <v>11733.932660975472</v>
      </c>
      <c r="S14" s="160">
        <f t="shared" si="8"/>
        <v>30622.2</v>
      </c>
      <c r="T14" s="171">
        <f t="shared" si="9"/>
        <v>9933.2486733333335</v>
      </c>
      <c r="U14" s="162" t="str">
        <f t="shared" si="10"/>
        <v/>
      </c>
      <c r="V14" s="148">
        <f t="shared" si="11"/>
        <v>-90245.340000000084</v>
      </c>
      <c r="W14" s="152" t="str">
        <f t="shared" si="12"/>
        <v/>
      </c>
      <c r="X14" s="153" t="str">
        <f t="shared" si="13"/>
        <v/>
      </c>
      <c r="Y14" s="132" t="e">
        <f t="shared" si="14"/>
        <v>#VALUE!</v>
      </c>
      <c r="Z14" s="155">
        <f t="shared" si="15"/>
        <v>-0.15345954674095111</v>
      </c>
      <c r="AA14" s="132">
        <f t="shared" si="16"/>
        <v>-1800.6839876421382</v>
      </c>
      <c r="AB14" s="202">
        <f t="shared" si="17"/>
        <v>-275310</v>
      </c>
    </row>
    <row r="15" spans="1:28" ht="18" customHeight="1" x14ac:dyDescent="0.25">
      <c r="A15" s="138">
        <v>13</v>
      </c>
      <c r="B15" s="163" t="str">
        <f>Квар.реализация!B51</f>
        <v xml:space="preserve"> г. Кумертау</v>
      </c>
      <c r="C15" s="163" t="str">
        <f>Квар.реализация!C51</f>
        <v>ул. Энергетиков, д. 25, в 6 м на запад</v>
      </c>
      <c r="D15" s="163">
        <f>Квар.реализация!J51</f>
        <v>47.2</v>
      </c>
      <c r="E15" s="166">
        <f>Квар.реализация!M51</f>
        <v>2015</v>
      </c>
      <c r="F15" s="166"/>
      <c r="G15" s="160">
        <v>1496240</v>
      </c>
      <c r="H15" s="161"/>
      <c r="I15" s="172">
        <f t="shared" si="2"/>
        <v>1496240</v>
      </c>
      <c r="J15" s="175">
        <f t="shared" si="3"/>
        <v>0</v>
      </c>
      <c r="K15" s="163">
        <f>Квар.реализация!O51</f>
        <v>1346045.34</v>
      </c>
      <c r="L15" s="160">
        <f t="shared" si="4"/>
        <v>150194.65999999992</v>
      </c>
      <c r="M15" s="163">
        <f>Квар.реализация!AD51</f>
        <v>1227200</v>
      </c>
      <c r="N15" s="160">
        <f t="shared" si="5"/>
        <v>26000</v>
      </c>
      <c r="O15" s="164">
        <f t="shared" si="0"/>
        <v>0.17981072555205047</v>
      </c>
      <c r="P15" s="164">
        <f t="shared" si="1"/>
        <v>8.8292226471360966E-2</v>
      </c>
      <c r="Q15" s="143">
        <f t="shared" si="6"/>
        <v>1227200</v>
      </c>
      <c r="R15" s="160">
        <f t="shared" si="7"/>
        <v>11466.700240125099</v>
      </c>
      <c r="S15" s="160">
        <f t="shared" si="8"/>
        <v>29924.799999999999</v>
      </c>
      <c r="T15" s="171">
        <f t="shared" si="9"/>
        <v>9737.6808955555553</v>
      </c>
      <c r="U15" s="162" t="str">
        <f t="shared" si="10"/>
        <v/>
      </c>
      <c r="V15" s="148">
        <f t="shared" si="11"/>
        <v>-118845.34000000008</v>
      </c>
      <c r="W15" s="152" t="str">
        <f t="shared" si="12"/>
        <v/>
      </c>
      <c r="X15" s="153" t="str">
        <f t="shared" si="13"/>
        <v/>
      </c>
      <c r="Y15" s="132" t="e">
        <f t="shared" si="14"/>
        <v>#VALUE!</v>
      </c>
      <c r="Z15" s="155">
        <f t="shared" si="15"/>
        <v>-0.15078612925793905</v>
      </c>
      <c r="AA15" s="132">
        <f t="shared" si="16"/>
        <v>-1729.019344569544</v>
      </c>
      <c r="AB15" s="202">
        <f t="shared" si="17"/>
        <v>-269040</v>
      </c>
    </row>
    <row r="16" spans="1:28" ht="18" customHeight="1" x14ac:dyDescent="0.25">
      <c r="A16" s="138">
        <v>14</v>
      </c>
      <c r="B16" s="163" t="str">
        <f>Квар.реализация!B52</f>
        <v xml:space="preserve"> г. Кумертау</v>
      </c>
      <c r="C16" s="163" t="str">
        <f>Квар.реализация!C52</f>
        <v>ул. Энергетиков, д. 25, в 6 м на запад</v>
      </c>
      <c r="D16" s="163">
        <f>Квар.реализация!J52</f>
        <v>47.1</v>
      </c>
      <c r="E16" s="166">
        <f>Квар.реализация!M52</f>
        <v>2015</v>
      </c>
      <c r="F16" s="166"/>
      <c r="G16" s="160">
        <v>1493070</v>
      </c>
      <c r="H16" s="161"/>
      <c r="I16" s="172">
        <f t="shared" si="2"/>
        <v>1493070</v>
      </c>
      <c r="J16" s="175">
        <f t="shared" si="3"/>
        <v>0</v>
      </c>
      <c r="K16" s="163">
        <f>Квар.реализация!O52</f>
        <v>1346045.33</v>
      </c>
      <c r="L16" s="160">
        <f t="shared" si="4"/>
        <v>147024.66999999993</v>
      </c>
      <c r="M16" s="163">
        <f>Квар.реализация!AD52</f>
        <v>1224600</v>
      </c>
      <c r="N16" s="160">
        <f t="shared" si="5"/>
        <v>26000</v>
      </c>
      <c r="O16" s="164">
        <f t="shared" si="0"/>
        <v>0.17981072555205047</v>
      </c>
      <c r="P16" s="164">
        <f t="shared" si="1"/>
        <v>9.0223803978429218E-2</v>
      </c>
      <c r="Q16" s="143">
        <f t="shared" si="6"/>
        <v>1224600</v>
      </c>
      <c r="R16" s="160">
        <f t="shared" si="7"/>
        <v>11442.406383684156</v>
      </c>
      <c r="S16" s="160">
        <f t="shared" si="8"/>
        <v>29861.4</v>
      </c>
      <c r="T16" s="171">
        <f t="shared" si="9"/>
        <v>9719.9019966666674</v>
      </c>
      <c r="U16" s="162" t="str">
        <f t="shared" si="10"/>
        <v/>
      </c>
      <c r="V16" s="148">
        <f t="shared" si="11"/>
        <v>-121445.33000000007</v>
      </c>
      <c r="W16" s="152" t="str">
        <f t="shared" si="12"/>
        <v/>
      </c>
      <c r="X16" s="153" t="str">
        <f t="shared" si="13"/>
        <v/>
      </c>
      <c r="Y16" s="132" t="e">
        <f t="shared" si="14"/>
        <v>#VALUE!</v>
      </c>
      <c r="Z16" s="155">
        <f t="shared" si="15"/>
        <v>-0.15053690012912191</v>
      </c>
      <c r="AA16" s="132">
        <f t="shared" si="16"/>
        <v>-1722.5043870174886</v>
      </c>
      <c r="AB16" s="202">
        <f t="shared" si="17"/>
        <v>-268470</v>
      </c>
    </row>
    <row r="17" spans="1:28" ht="18" customHeight="1" x14ac:dyDescent="0.25">
      <c r="A17" s="138">
        <v>15</v>
      </c>
      <c r="B17" s="163" t="str">
        <f>Квар.реализация!B27</f>
        <v xml:space="preserve"> г. Кумертау, с. Маячный</v>
      </c>
      <c r="C17" s="163" t="str">
        <f>Квар.реализация!C27</f>
        <v>ул. Гафури, д. 17 А</v>
      </c>
      <c r="D17" s="163">
        <f>Квар.реализация!J27</f>
        <v>51.8</v>
      </c>
      <c r="E17" s="166">
        <f>Квар.реализация!M27</f>
        <v>2014</v>
      </c>
      <c r="F17" s="166" t="s">
        <v>580</v>
      </c>
      <c r="G17" s="160">
        <v>1139600</v>
      </c>
      <c r="H17" s="161"/>
      <c r="I17" s="172">
        <f t="shared" si="2"/>
        <v>1139600</v>
      </c>
      <c r="J17" s="205">
        <f t="shared" si="3"/>
        <v>0</v>
      </c>
      <c r="K17" s="163">
        <f>Квар.реализация!O27</f>
        <v>1124200</v>
      </c>
      <c r="L17" s="160">
        <f t="shared" si="4"/>
        <v>15400</v>
      </c>
      <c r="M17" s="163">
        <f>Квар.реализация!AD27</f>
        <v>1000000</v>
      </c>
      <c r="N17" s="160">
        <f t="shared" si="5"/>
        <v>19305.019305019305</v>
      </c>
      <c r="O17" s="164">
        <f t="shared" si="0"/>
        <v>0.1224991224991225</v>
      </c>
      <c r="P17" s="164">
        <f t="shared" si="1"/>
        <v>0.11047856253335706</v>
      </c>
      <c r="Q17" s="143">
        <f t="shared" si="6"/>
        <v>1000000</v>
      </c>
      <c r="R17" s="160">
        <f t="shared" si="7"/>
        <v>9343.7909388242333</v>
      </c>
      <c r="S17" s="160">
        <f t="shared" si="8"/>
        <v>22792</v>
      </c>
      <c r="T17" s="171">
        <f t="shared" si="9"/>
        <v>7598.0488888888885</v>
      </c>
      <c r="U17" s="162" t="str">
        <f t="shared" si="10"/>
        <v/>
      </c>
      <c r="V17" s="148">
        <f t="shared" si="11"/>
        <v>-124200</v>
      </c>
      <c r="W17" s="152" t="str">
        <f t="shared" si="12"/>
        <v/>
      </c>
      <c r="X17" s="153" t="str">
        <f t="shared" si="13"/>
        <v/>
      </c>
      <c r="Y17" s="132" t="e">
        <f t="shared" si="14"/>
        <v>#VALUE!</v>
      </c>
      <c r="Z17" s="155">
        <f t="shared" si="15"/>
        <v>-0.18683445095947518</v>
      </c>
      <c r="AA17" s="132">
        <f t="shared" si="16"/>
        <v>-1745.7420499353448</v>
      </c>
      <c r="AB17" s="202">
        <f t="shared" si="17"/>
        <v>-139600</v>
      </c>
    </row>
    <row r="18" spans="1:28" ht="18" customHeight="1" x14ac:dyDescent="0.25">
      <c r="A18" s="138">
        <v>16</v>
      </c>
      <c r="B18" s="163" t="str">
        <f>Квар.реализация!B28</f>
        <v xml:space="preserve"> г. Кумертау, с. Маячный</v>
      </c>
      <c r="C18" s="163" t="str">
        <f>Квар.реализация!C28</f>
        <v>ул. Гафури, д. 17 А</v>
      </c>
      <c r="D18" s="163">
        <f>Квар.реализация!J28</f>
        <v>51.2</v>
      </c>
      <c r="E18" s="166">
        <f>Квар.реализация!M28</f>
        <v>2014</v>
      </c>
      <c r="F18" s="166" t="s">
        <v>580</v>
      </c>
      <c r="G18" s="160">
        <v>1126400</v>
      </c>
      <c r="H18" s="161"/>
      <c r="I18" s="172">
        <f t="shared" si="2"/>
        <v>1126400</v>
      </c>
      <c r="J18" s="205">
        <f t="shared" si="3"/>
        <v>0</v>
      </c>
      <c r="K18" s="163">
        <f>Квар.реализация!O28</f>
        <v>1117600</v>
      </c>
      <c r="L18" s="160">
        <f t="shared" si="4"/>
        <v>8800</v>
      </c>
      <c r="M18" s="163">
        <f>Квар.реализация!AD28</f>
        <v>1000000</v>
      </c>
      <c r="N18" s="160">
        <f t="shared" si="5"/>
        <v>19531.25</v>
      </c>
      <c r="O18" s="164">
        <f t="shared" si="0"/>
        <v>0.11221590909090909</v>
      </c>
      <c r="P18" s="164">
        <f t="shared" si="1"/>
        <v>0.10522548317823908</v>
      </c>
      <c r="Q18" s="143">
        <f t="shared" si="6"/>
        <v>1000000</v>
      </c>
      <c r="R18" s="160">
        <f t="shared" si="7"/>
        <v>9343.7909388242333</v>
      </c>
      <c r="S18" s="160">
        <f t="shared" si="8"/>
        <v>22528</v>
      </c>
      <c r="T18" s="171">
        <f t="shared" si="9"/>
        <v>7516.4622222222224</v>
      </c>
      <c r="U18" s="162" t="str">
        <f t="shared" si="10"/>
        <v/>
      </c>
      <c r="V18" s="148">
        <f t="shared" si="11"/>
        <v>-117600</v>
      </c>
      <c r="W18" s="152" t="str">
        <f t="shared" si="12"/>
        <v/>
      </c>
      <c r="X18" s="153" t="str">
        <f t="shared" si="13"/>
        <v/>
      </c>
      <c r="Y18" s="132" t="e">
        <f t="shared" si="14"/>
        <v>#VALUE!</v>
      </c>
      <c r="Z18" s="155">
        <f t="shared" si="15"/>
        <v>-0.19556609609160958</v>
      </c>
      <c r="AA18" s="132">
        <f t="shared" si="16"/>
        <v>-1827.3287166020109</v>
      </c>
      <c r="AB18" s="202">
        <f t="shared" si="17"/>
        <v>-126400</v>
      </c>
    </row>
    <row r="19" spans="1:28" ht="18" customHeight="1" x14ac:dyDescent="0.25">
      <c r="A19" s="138">
        <v>17</v>
      </c>
      <c r="B19" s="163" t="str">
        <f>Квар.реализация!B29</f>
        <v xml:space="preserve"> г. Кумертау, с. Маячный</v>
      </c>
      <c r="C19" s="163" t="str">
        <f>Квар.реализация!C29</f>
        <v>ул. Гафури, д. 17 А</v>
      </c>
      <c r="D19" s="163">
        <f>Квар.реализация!J29</f>
        <v>51.6</v>
      </c>
      <c r="E19" s="166">
        <f>Квар.реализация!M29</f>
        <v>2014</v>
      </c>
      <c r="F19" s="166" t="s">
        <v>580</v>
      </c>
      <c r="G19" s="160">
        <v>1135200</v>
      </c>
      <c r="H19" s="161"/>
      <c r="I19" s="172">
        <f t="shared" si="2"/>
        <v>1135200</v>
      </c>
      <c r="J19" s="205">
        <f t="shared" si="3"/>
        <v>0</v>
      </c>
      <c r="K19" s="163">
        <f>Квар.реализация!O29</f>
        <v>1115400</v>
      </c>
      <c r="L19" s="160">
        <f t="shared" si="4"/>
        <v>19800</v>
      </c>
      <c r="M19" s="163">
        <f>Квар.реализация!AD29</f>
        <v>1000000</v>
      </c>
      <c r="N19" s="160">
        <f t="shared" si="5"/>
        <v>19379.844961240309</v>
      </c>
      <c r="O19" s="164">
        <f t="shared" si="0"/>
        <v>0.11909795630725863</v>
      </c>
      <c r="P19" s="164">
        <f t="shared" si="1"/>
        <v>0.10346064192218038</v>
      </c>
      <c r="Q19" s="143">
        <f t="shared" si="6"/>
        <v>1000000</v>
      </c>
      <c r="R19" s="160">
        <f t="shared" si="7"/>
        <v>9343.7909388242333</v>
      </c>
      <c r="S19" s="160">
        <f t="shared" si="8"/>
        <v>22704</v>
      </c>
      <c r="T19" s="171">
        <f t="shared" si="9"/>
        <v>7564.253333333334</v>
      </c>
      <c r="U19" s="162" t="str">
        <f t="shared" si="10"/>
        <v/>
      </c>
      <c r="V19" s="148">
        <f t="shared" si="11"/>
        <v>-115400</v>
      </c>
      <c r="W19" s="152" t="str">
        <f t="shared" si="12"/>
        <v/>
      </c>
      <c r="X19" s="153" t="str">
        <f t="shared" si="13"/>
        <v/>
      </c>
      <c r="Y19" s="132" t="e">
        <f t="shared" si="14"/>
        <v>#VALUE!</v>
      </c>
      <c r="Z19" s="155">
        <f t="shared" si="15"/>
        <v>-0.19045135075708636</v>
      </c>
      <c r="AA19" s="132">
        <f t="shared" si="16"/>
        <v>-1779.5376054908993</v>
      </c>
      <c r="AB19" s="202">
        <f t="shared" si="17"/>
        <v>-135200</v>
      </c>
    </row>
    <row r="20" spans="1:28" ht="18" customHeight="1" x14ac:dyDescent="0.25">
      <c r="A20" s="138">
        <v>18</v>
      </c>
      <c r="B20" s="163" t="str">
        <f>Квар.реализация!B30</f>
        <v xml:space="preserve"> г. Кумертау, с. Маячный</v>
      </c>
      <c r="C20" s="163" t="str">
        <f>Квар.реализация!C30</f>
        <v>ул. Гафури, д. 17 А</v>
      </c>
      <c r="D20" s="163">
        <f>Квар.реализация!J30</f>
        <v>51.1</v>
      </c>
      <c r="E20" s="166">
        <f>Квар.реализация!M30</f>
        <v>2014</v>
      </c>
      <c r="F20" s="166" t="s">
        <v>580</v>
      </c>
      <c r="G20" s="160">
        <v>1124200</v>
      </c>
      <c r="H20" s="161"/>
      <c r="I20" s="172">
        <f t="shared" si="2"/>
        <v>1124200</v>
      </c>
      <c r="J20" s="205">
        <f t="shared" si="3"/>
        <v>0</v>
      </c>
      <c r="K20" s="163">
        <f>Квар.реализация!O30</f>
        <v>1111000</v>
      </c>
      <c r="L20" s="160">
        <f t="shared" si="4"/>
        <v>13200</v>
      </c>
      <c r="M20" s="163">
        <f>Квар.реализация!AD30</f>
        <v>1000000</v>
      </c>
      <c r="N20" s="160">
        <f t="shared" si="5"/>
        <v>19569.471624266145</v>
      </c>
      <c r="O20" s="164">
        <f t="shared" si="0"/>
        <v>0.11047856253335706</v>
      </c>
      <c r="P20" s="164">
        <f t="shared" si="1"/>
        <v>9.9909990999099904E-2</v>
      </c>
      <c r="Q20" s="143">
        <f t="shared" si="6"/>
        <v>1000000</v>
      </c>
      <c r="R20" s="160">
        <f t="shared" si="7"/>
        <v>9343.7909388242333</v>
      </c>
      <c r="S20" s="160">
        <f t="shared" si="8"/>
        <v>22484</v>
      </c>
      <c r="T20" s="171">
        <f t="shared" si="9"/>
        <v>7497.3644444444444</v>
      </c>
      <c r="U20" s="162" t="str">
        <f t="shared" si="10"/>
        <v/>
      </c>
      <c r="V20" s="148">
        <f t="shared" si="11"/>
        <v>-111000</v>
      </c>
      <c r="W20" s="152" t="str">
        <f t="shared" si="12"/>
        <v/>
      </c>
      <c r="X20" s="153" t="str">
        <f t="shared" si="13"/>
        <v/>
      </c>
      <c r="Y20" s="132" t="e">
        <f t="shared" si="14"/>
        <v>#VALUE!</v>
      </c>
      <c r="Z20" s="155">
        <f t="shared" si="15"/>
        <v>-0.19760999646382629</v>
      </c>
      <c r="AA20" s="132">
        <f t="shared" si="16"/>
        <v>-1846.4264943797889</v>
      </c>
      <c r="AB20" s="202">
        <f t="shared" si="17"/>
        <v>-124200</v>
      </c>
    </row>
    <row r="21" spans="1:28" ht="18" customHeight="1" x14ac:dyDescent="0.25">
      <c r="A21" s="138">
        <v>19</v>
      </c>
      <c r="B21" s="163" t="str">
        <f>Квар.реализация!B31</f>
        <v xml:space="preserve"> г. Кумертау, с. Маячный</v>
      </c>
      <c r="C21" s="163" t="str">
        <f>Квар.реализация!C31</f>
        <v>ул. Гафури, д. 17 А</v>
      </c>
      <c r="D21" s="163">
        <f>Квар.реализация!J31</f>
        <v>51.5</v>
      </c>
      <c r="E21" s="166">
        <f>Квар.реализация!M31</f>
        <v>2014</v>
      </c>
      <c r="F21" s="166" t="s">
        <v>580</v>
      </c>
      <c r="G21" s="160">
        <v>1133000</v>
      </c>
      <c r="H21" s="161"/>
      <c r="I21" s="172">
        <f t="shared" si="2"/>
        <v>1133000</v>
      </c>
      <c r="J21" s="205">
        <f t="shared" si="3"/>
        <v>0</v>
      </c>
      <c r="K21" s="163">
        <f>Квар.реализация!O31</f>
        <v>1119800</v>
      </c>
      <c r="L21" s="160">
        <f t="shared" si="4"/>
        <v>13200</v>
      </c>
      <c r="M21" s="163">
        <f>Квар.реализация!AD31</f>
        <v>1000000</v>
      </c>
      <c r="N21" s="160">
        <f t="shared" si="5"/>
        <v>19417.475728155339</v>
      </c>
      <c r="O21" s="164">
        <f t="shared" si="0"/>
        <v>0.11738746690203</v>
      </c>
      <c r="P21" s="164">
        <f t="shared" si="1"/>
        <v>0.10698338989105198</v>
      </c>
      <c r="Q21" s="143">
        <f t="shared" si="6"/>
        <v>1000000</v>
      </c>
      <c r="R21" s="160">
        <f t="shared" si="7"/>
        <v>9343.7909388242333</v>
      </c>
      <c r="S21" s="160">
        <f t="shared" si="8"/>
        <v>22660</v>
      </c>
      <c r="T21" s="171">
        <f t="shared" si="9"/>
        <v>7556.1555555555551</v>
      </c>
      <c r="U21" s="162" t="str">
        <f t="shared" si="10"/>
        <v/>
      </c>
      <c r="V21" s="148">
        <f t="shared" si="11"/>
        <v>-119800</v>
      </c>
      <c r="W21" s="152" t="str">
        <f t="shared" si="12"/>
        <v/>
      </c>
      <c r="X21" s="153" t="str">
        <f t="shared" si="13"/>
        <v/>
      </c>
      <c r="Y21" s="132" t="e">
        <f t="shared" si="14"/>
        <v>#VALUE!</v>
      </c>
      <c r="Z21" s="155">
        <f t="shared" si="15"/>
        <v>-0.19131799876224795</v>
      </c>
      <c r="AA21" s="132">
        <f t="shared" si="16"/>
        <v>-1787.6353832686782</v>
      </c>
      <c r="AB21" s="202">
        <f t="shared" si="17"/>
        <v>-133000</v>
      </c>
    </row>
    <row r="22" spans="1:28" ht="18" customHeight="1" x14ac:dyDescent="0.25">
      <c r="A22" s="138">
        <v>20</v>
      </c>
      <c r="B22" s="163" t="str">
        <f>Квар.реализация!B32</f>
        <v xml:space="preserve"> г. Кумертау, с. Маячный</v>
      </c>
      <c r="C22" s="163" t="str">
        <f>Квар.реализация!C32</f>
        <v>ул. Гафури, д. 17 А</v>
      </c>
      <c r="D22" s="163">
        <f>Квар.реализация!J32</f>
        <v>51.5</v>
      </c>
      <c r="E22" s="166">
        <f>Квар.реализация!M32</f>
        <v>2014</v>
      </c>
      <c r="F22" s="166" t="s">
        <v>580</v>
      </c>
      <c r="G22" s="160">
        <v>1133000</v>
      </c>
      <c r="H22" s="161"/>
      <c r="I22" s="172">
        <f t="shared" si="2"/>
        <v>1133000</v>
      </c>
      <c r="J22" s="205">
        <f t="shared" si="3"/>
        <v>0</v>
      </c>
      <c r="K22" s="163">
        <f>Квар.реализация!O32</f>
        <v>1108800</v>
      </c>
      <c r="L22" s="160">
        <f t="shared" si="4"/>
        <v>24200</v>
      </c>
      <c r="M22" s="163">
        <f>Квар.реализация!AD32</f>
        <v>1000000</v>
      </c>
      <c r="N22" s="160">
        <f t="shared" si="5"/>
        <v>19417.475728155339</v>
      </c>
      <c r="O22" s="164">
        <f t="shared" si="0"/>
        <v>0.11738746690203</v>
      </c>
      <c r="P22" s="164">
        <f t="shared" si="1"/>
        <v>9.8124098124098127E-2</v>
      </c>
      <c r="Q22" s="143">
        <f t="shared" si="6"/>
        <v>1000000</v>
      </c>
      <c r="R22" s="160">
        <f t="shared" si="7"/>
        <v>9343.7909388242333</v>
      </c>
      <c r="S22" s="160">
        <f t="shared" si="8"/>
        <v>22660</v>
      </c>
      <c r="T22" s="171">
        <f t="shared" si="9"/>
        <v>7545.1555555555551</v>
      </c>
      <c r="U22" s="162" t="str">
        <f t="shared" si="10"/>
        <v/>
      </c>
      <c r="V22" s="148">
        <f t="shared" si="11"/>
        <v>-108800</v>
      </c>
      <c r="W22" s="152" t="str">
        <f t="shared" si="12"/>
        <v/>
      </c>
      <c r="X22" s="153" t="str">
        <f t="shared" si="13"/>
        <v/>
      </c>
      <c r="Y22" s="132" t="e">
        <f t="shared" si="14"/>
        <v>#VALUE!</v>
      </c>
      <c r="Z22" s="155">
        <f t="shared" si="15"/>
        <v>-0.19249525112930316</v>
      </c>
      <c r="AA22" s="132">
        <f t="shared" si="16"/>
        <v>-1798.6353832686782</v>
      </c>
      <c r="AB22" s="202">
        <f t="shared" si="17"/>
        <v>-133000</v>
      </c>
    </row>
    <row r="23" spans="1:28" ht="18" customHeight="1" x14ac:dyDescent="0.25">
      <c r="A23" s="138">
        <v>21</v>
      </c>
      <c r="B23" s="163" t="str">
        <f>Квар.реализация!B33</f>
        <v xml:space="preserve"> г. Кумертау, с. Маячный</v>
      </c>
      <c r="C23" s="163" t="str">
        <f>Квар.реализация!C33</f>
        <v>ул. Гафури, д. 17 А</v>
      </c>
      <c r="D23" s="163">
        <f>Квар.реализация!J33</f>
        <v>51.4</v>
      </c>
      <c r="E23" s="166">
        <f>Квар.реализация!M33</f>
        <v>2014</v>
      </c>
      <c r="F23" s="166" t="s">
        <v>580</v>
      </c>
      <c r="G23" s="160">
        <v>1130800</v>
      </c>
      <c r="H23" s="161"/>
      <c r="I23" s="172">
        <f t="shared" si="2"/>
        <v>1130800</v>
      </c>
      <c r="J23" s="205">
        <f t="shared" si="3"/>
        <v>0</v>
      </c>
      <c r="K23" s="163">
        <f>Квар.реализация!O33</f>
        <v>1117600</v>
      </c>
      <c r="L23" s="160">
        <f t="shared" si="4"/>
        <v>13200</v>
      </c>
      <c r="M23" s="163">
        <f>Квар.реализация!AD33</f>
        <v>1000000</v>
      </c>
      <c r="N23" s="160">
        <f t="shared" si="5"/>
        <v>19455.252918287937</v>
      </c>
      <c r="O23" s="164">
        <f t="shared" si="0"/>
        <v>0.11567032189600283</v>
      </c>
      <c r="P23" s="164">
        <f t="shared" si="1"/>
        <v>0.10522548317823908</v>
      </c>
      <c r="Q23" s="143">
        <f t="shared" si="6"/>
        <v>1000000</v>
      </c>
      <c r="R23" s="160">
        <f t="shared" si="7"/>
        <v>9343.7909388242333</v>
      </c>
      <c r="S23" s="160">
        <f t="shared" si="8"/>
        <v>22616</v>
      </c>
      <c r="T23" s="171">
        <f t="shared" si="9"/>
        <v>7541.4577777777786</v>
      </c>
      <c r="U23" s="162" t="str">
        <f t="shared" si="10"/>
        <v/>
      </c>
      <c r="V23" s="148">
        <f t="shared" si="11"/>
        <v>-117600</v>
      </c>
      <c r="W23" s="152" t="str">
        <f t="shared" si="12"/>
        <v/>
      </c>
      <c r="X23" s="153" t="str">
        <f t="shared" si="13"/>
        <v/>
      </c>
      <c r="Y23" s="132" t="e">
        <f t="shared" si="14"/>
        <v>#VALUE!</v>
      </c>
      <c r="Z23" s="155">
        <f t="shared" si="15"/>
        <v>-0.19289099818764241</v>
      </c>
      <c r="AA23" s="132">
        <f t="shared" si="16"/>
        <v>-1802.3331610464547</v>
      </c>
      <c r="AB23" s="202">
        <f t="shared" si="17"/>
        <v>-130800</v>
      </c>
    </row>
    <row r="24" spans="1:28" ht="18" customHeight="1" x14ac:dyDescent="0.25">
      <c r="A24" s="138">
        <v>22</v>
      </c>
      <c r="B24" s="163" t="str">
        <f>Квар.реализация!B38</f>
        <v xml:space="preserve"> г. Мелеуз</v>
      </c>
      <c r="C24" s="163" t="str">
        <f>Квар.реализация!C38</f>
        <v xml:space="preserve"> ул. Ленина, д. 12</v>
      </c>
      <c r="D24" s="163">
        <f>Квар.реализация!J38</f>
        <v>60.5</v>
      </c>
      <c r="E24" s="166">
        <f>Квар.реализация!M38</f>
        <v>2015</v>
      </c>
      <c r="F24" s="166"/>
      <c r="G24" s="160">
        <v>1754500</v>
      </c>
      <c r="H24" s="161"/>
      <c r="I24" s="172">
        <f t="shared" si="2"/>
        <v>1754500</v>
      </c>
      <c r="J24" s="176">
        <f t="shared" si="3"/>
        <v>0</v>
      </c>
      <c r="K24" s="163">
        <f>Квар.реализация!O38</f>
        <v>1659920.1</v>
      </c>
      <c r="L24" s="160">
        <f t="shared" si="4"/>
        <v>94579.899999999907</v>
      </c>
      <c r="M24" s="163">
        <f>Квар.реализация!AD38</f>
        <v>1331000</v>
      </c>
      <c r="N24" s="160">
        <f t="shared" si="5"/>
        <v>22000</v>
      </c>
      <c r="O24" s="164">
        <f t="shared" si="0"/>
        <v>0.2413793103448276</v>
      </c>
      <c r="P24" s="164">
        <f t="shared" si="1"/>
        <v>0.19815417621607212</v>
      </c>
      <c r="Q24" s="143">
        <f t="shared" si="6"/>
        <v>1331000</v>
      </c>
      <c r="R24" s="160">
        <f t="shared" si="7"/>
        <v>12436.585739575055</v>
      </c>
      <c r="S24" s="160">
        <f t="shared" si="8"/>
        <v>35090</v>
      </c>
      <c r="T24" s="171">
        <f t="shared" si="9"/>
        <v>11526.797877777777</v>
      </c>
      <c r="U24" s="162" t="str">
        <f t="shared" si="10"/>
        <v/>
      </c>
      <c r="V24" s="148">
        <f t="shared" si="11"/>
        <v>-328920.10000000009</v>
      </c>
      <c r="W24" s="152" t="str">
        <f t="shared" si="12"/>
        <v/>
      </c>
      <c r="X24" s="153" t="str">
        <f t="shared" si="13"/>
        <v/>
      </c>
      <c r="Y24" s="132" t="e">
        <f t="shared" si="14"/>
        <v>#VALUE!</v>
      </c>
      <c r="Z24" s="155">
        <f t="shared" si="15"/>
        <v>-7.315415025059481E-2</v>
      </c>
      <c r="AA24" s="132">
        <f t="shared" si="16"/>
        <v>-909.78786179727831</v>
      </c>
      <c r="AB24" s="202">
        <f t="shared" si="17"/>
        <v>-423500</v>
      </c>
    </row>
    <row r="25" spans="1:28" ht="18" customHeight="1" x14ac:dyDescent="0.25">
      <c r="A25" s="138">
        <v>23</v>
      </c>
      <c r="B25" s="163" t="str">
        <f>Квар.реализация!B94</f>
        <v xml:space="preserve"> г. Сибай</v>
      </c>
      <c r="C25" s="163" t="str">
        <f>Квар.реализация!C94</f>
        <v>ул. Куйбышева, д. 11</v>
      </c>
      <c r="D25" s="163">
        <f>Квар.реализация!J94</f>
        <v>47</v>
      </c>
      <c r="E25" s="166">
        <f>Квар.реализация!M94</f>
        <v>2016</v>
      </c>
      <c r="F25" s="166"/>
      <c r="G25" s="160">
        <v>1508700</v>
      </c>
      <c r="H25" s="161"/>
      <c r="I25" s="172">
        <f t="shared" si="2"/>
        <v>1508700</v>
      </c>
      <c r="J25" s="175">
        <f t="shared" si="3"/>
        <v>0</v>
      </c>
      <c r="K25" s="163">
        <f>Квар.реализация!O94</f>
        <v>1283794.75</v>
      </c>
      <c r="L25" s="160">
        <f t="shared" si="4"/>
        <v>224905.25</v>
      </c>
      <c r="M25" s="163">
        <f>Квар.реализация!AD94</f>
        <v>1222000</v>
      </c>
      <c r="N25" s="160">
        <f t="shared" si="5"/>
        <v>26000</v>
      </c>
      <c r="O25" s="164">
        <f t="shared" si="0"/>
        <v>0.19003115264797507</v>
      </c>
      <c r="P25" s="164">
        <f t="shared" si="1"/>
        <v>4.8134446725226133E-2</v>
      </c>
      <c r="Q25" s="143">
        <f t="shared" si="6"/>
        <v>1222000</v>
      </c>
      <c r="R25" s="160">
        <f t="shared" si="7"/>
        <v>11418.112527243215</v>
      </c>
      <c r="S25" s="160">
        <f t="shared" si="8"/>
        <v>30174</v>
      </c>
      <c r="T25" s="171">
        <f t="shared" si="9"/>
        <v>9742.2280833333334</v>
      </c>
      <c r="U25" s="162" t="str">
        <f t="shared" si="10"/>
        <v/>
      </c>
      <c r="V25" s="148">
        <f t="shared" si="11"/>
        <v>-61794.75</v>
      </c>
      <c r="W25" s="152" t="str">
        <f t="shared" si="12"/>
        <v/>
      </c>
      <c r="X25" s="153" t="str">
        <f t="shared" si="13"/>
        <v/>
      </c>
      <c r="Y25" s="132" t="e">
        <f t="shared" si="14"/>
        <v>#VALUE!</v>
      </c>
      <c r="Z25" s="155">
        <f t="shared" si="15"/>
        <v>-0.14677420982769962</v>
      </c>
      <c r="AA25" s="132">
        <f t="shared" si="16"/>
        <v>-1675.8844439098812</v>
      </c>
      <c r="AB25" s="202">
        <f t="shared" si="17"/>
        <v>-286700</v>
      </c>
    </row>
    <row r="26" spans="1:28" ht="18" customHeight="1" x14ac:dyDescent="0.25">
      <c r="A26" s="138">
        <v>24</v>
      </c>
      <c r="B26" s="163" t="str">
        <f>Квар.реализация!B95</f>
        <v xml:space="preserve"> г. Сибай</v>
      </c>
      <c r="C26" s="163" t="str">
        <f>Квар.реализация!C95</f>
        <v>ул. Куйбышева, д. 11</v>
      </c>
      <c r="D26" s="163">
        <f>Квар.реализация!J95</f>
        <v>47.1</v>
      </c>
      <c r="E26" s="166">
        <f>Квар.реализация!M95</f>
        <v>2016</v>
      </c>
      <c r="F26" s="166"/>
      <c r="G26" s="160">
        <v>1511910</v>
      </c>
      <c r="H26" s="161"/>
      <c r="I26" s="172">
        <f t="shared" si="2"/>
        <v>1511910</v>
      </c>
      <c r="J26" s="175">
        <f t="shared" si="3"/>
        <v>0</v>
      </c>
      <c r="K26" s="163">
        <f>Квар.реализация!O95</f>
        <v>1283837.73</v>
      </c>
      <c r="L26" s="160">
        <f t="shared" si="4"/>
        <v>228072.27000000002</v>
      </c>
      <c r="M26" s="163">
        <f>Квар.реализация!AD95</f>
        <v>1224600</v>
      </c>
      <c r="N26" s="160">
        <f t="shared" si="5"/>
        <v>26000</v>
      </c>
      <c r="O26" s="164">
        <f t="shared" si="0"/>
        <v>0.19003115264797507</v>
      </c>
      <c r="P26" s="164">
        <f t="shared" si="1"/>
        <v>4.6141134985961181E-2</v>
      </c>
      <c r="Q26" s="143">
        <f t="shared" si="6"/>
        <v>1224600</v>
      </c>
      <c r="R26" s="160">
        <f t="shared" si="7"/>
        <v>11442.406383684156</v>
      </c>
      <c r="S26" s="160">
        <f t="shared" si="8"/>
        <v>30238.2</v>
      </c>
      <c r="T26" s="171">
        <f t="shared" si="9"/>
        <v>9760.2677299999996</v>
      </c>
      <c r="U26" s="162" t="str">
        <f t="shared" si="10"/>
        <v/>
      </c>
      <c r="V26" s="148">
        <f t="shared" si="11"/>
        <v>-59237.729999999981</v>
      </c>
      <c r="W26" s="152" t="str">
        <f t="shared" si="12"/>
        <v/>
      </c>
      <c r="X26" s="153" t="str">
        <f t="shared" si="13"/>
        <v/>
      </c>
      <c r="Y26" s="132" t="e">
        <f t="shared" si="14"/>
        <v>#VALUE!</v>
      </c>
      <c r="Z26" s="155">
        <f t="shared" si="15"/>
        <v>-0.14700916898762967</v>
      </c>
      <c r="AA26" s="132">
        <f t="shared" si="16"/>
        <v>-1682.1386536841565</v>
      </c>
      <c r="AB26" s="202">
        <f t="shared" si="17"/>
        <v>-287310</v>
      </c>
    </row>
    <row r="27" spans="1:28" ht="18" customHeight="1" x14ac:dyDescent="0.25">
      <c r="A27" s="138">
        <v>25</v>
      </c>
      <c r="B27" s="163" t="str">
        <f>Квар.реализация!B96</f>
        <v xml:space="preserve"> г. Сибай</v>
      </c>
      <c r="C27" s="163" t="str">
        <f>Квар.реализация!C96</f>
        <v>ул. Куйбышева, д. 11</v>
      </c>
      <c r="D27" s="163">
        <f>Квар.реализация!J96</f>
        <v>47.1</v>
      </c>
      <c r="E27" s="166">
        <f>Квар.реализация!M96</f>
        <v>2016</v>
      </c>
      <c r="F27" s="166"/>
      <c r="G27" s="160">
        <v>1511910</v>
      </c>
      <c r="H27" s="161"/>
      <c r="I27" s="172">
        <f t="shared" si="2"/>
        <v>1511910</v>
      </c>
      <c r="J27" s="176">
        <f t="shared" si="3"/>
        <v>0</v>
      </c>
      <c r="K27" s="163">
        <f>Квар.реализация!O96</f>
        <v>1283838.73</v>
      </c>
      <c r="L27" s="160">
        <f t="shared" si="4"/>
        <v>228071.27000000002</v>
      </c>
      <c r="M27" s="163">
        <f>26000*D27</f>
        <v>1224600</v>
      </c>
      <c r="N27" s="160">
        <f t="shared" si="5"/>
        <v>26000</v>
      </c>
      <c r="O27" s="164">
        <f t="shared" si="0"/>
        <v>0.19003115264797507</v>
      </c>
      <c r="P27" s="164">
        <f t="shared" si="1"/>
        <v>4.6141877960014482E-2</v>
      </c>
      <c r="Q27" s="143">
        <f t="shared" si="6"/>
        <v>1224600</v>
      </c>
      <c r="R27" s="160">
        <f t="shared" si="7"/>
        <v>11442.406383684156</v>
      </c>
      <c r="S27" s="160">
        <f t="shared" si="8"/>
        <v>30238.2</v>
      </c>
      <c r="T27" s="171">
        <f t="shared" si="9"/>
        <v>9760.2687299999998</v>
      </c>
      <c r="U27" s="162" t="str">
        <f t="shared" si="10"/>
        <v/>
      </c>
      <c r="V27" s="148">
        <f t="shared" si="11"/>
        <v>-59238.729999999981</v>
      </c>
      <c r="W27" s="152" t="str">
        <f t="shared" si="12"/>
        <v/>
      </c>
      <c r="X27" s="153" t="str">
        <f t="shared" si="13"/>
        <v/>
      </c>
      <c r="Y27" s="132" t="e">
        <f t="shared" si="14"/>
        <v>#VALUE!</v>
      </c>
      <c r="Z27" s="155">
        <f t="shared" si="15"/>
        <v>-0.14700908159342543</v>
      </c>
      <c r="AA27" s="132">
        <f t="shared" si="16"/>
        <v>-1682.1376536841562</v>
      </c>
      <c r="AB27" s="202">
        <f t="shared" si="17"/>
        <v>-287310</v>
      </c>
    </row>
    <row r="28" spans="1:28" ht="18" customHeight="1" x14ac:dyDescent="0.25">
      <c r="A28" s="138">
        <v>26</v>
      </c>
      <c r="B28" s="163" t="str">
        <f>Квар.реализация!B37</f>
        <v xml:space="preserve"> г. Учалы</v>
      </c>
      <c r="C28" s="163" t="str">
        <f>Квар.реализация!C37</f>
        <v xml:space="preserve"> ул. М.Горького, д. 19/1, мкр.9</v>
      </c>
      <c r="D28" s="163">
        <f>Квар.реализация!J37</f>
        <v>59.2</v>
      </c>
      <c r="E28" s="166">
        <f>Квар.реализация!M37</f>
        <v>2015</v>
      </c>
      <c r="F28" s="166"/>
      <c r="G28" s="160">
        <v>1912160</v>
      </c>
      <c r="H28" s="161"/>
      <c r="I28" s="172">
        <f t="shared" si="2"/>
        <v>1912160</v>
      </c>
      <c r="J28" s="176">
        <f t="shared" si="3"/>
        <v>0</v>
      </c>
      <c r="K28" s="163">
        <f>Квар.реализация!O37</f>
        <v>1786683.83</v>
      </c>
      <c r="L28" s="160">
        <f t="shared" si="4"/>
        <v>125476.16999999993</v>
      </c>
      <c r="M28" s="163">
        <f>Квар.реализация!AD37</f>
        <v>1539200</v>
      </c>
      <c r="N28" s="160">
        <f t="shared" si="5"/>
        <v>26000</v>
      </c>
      <c r="O28" s="164">
        <f t="shared" si="0"/>
        <v>0.19504643962848298</v>
      </c>
      <c r="P28" s="164">
        <f t="shared" si="1"/>
        <v>0.13851573840011752</v>
      </c>
      <c r="Q28" s="143">
        <f t="shared" si="6"/>
        <v>1539200</v>
      </c>
      <c r="R28" s="160">
        <f t="shared" si="7"/>
        <v>14381.963013038259</v>
      </c>
      <c r="S28" s="160">
        <f t="shared" si="8"/>
        <v>38243.200000000004</v>
      </c>
      <c r="T28" s="171">
        <f t="shared" si="9"/>
        <v>12505.172718888889</v>
      </c>
      <c r="U28" s="162" t="str">
        <f t="shared" si="10"/>
        <v/>
      </c>
      <c r="V28" s="148">
        <f t="shared" si="11"/>
        <v>-247483.83000000007</v>
      </c>
      <c r="W28" s="152" t="str">
        <f t="shared" si="12"/>
        <v/>
      </c>
      <c r="X28" s="153" t="str">
        <f t="shared" si="13"/>
        <v/>
      </c>
      <c r="Y28" s="132" t="e">
        <f t="shared" si="14"/>
        <v>#VALUE!</v>
      </c>
      <c r="Z28" s="155">
        <f t="shared" si="15"/>
        <v>-0.13049611464359406</v>
      </c>
      <c r="AA28" s="132">
        <f t="shared" si="16"/>
        <v>-1876.7902941493703</v>
      </c>
      <c r="AB28" s="202">
        <f t="shared" si="17"/>
        <v>-372960</v>
      </c>
    </row>
    <row r="29" spans="1:28" ht="18" customHeight="1" x14ac:dyDescent="0.25">
      <c r="A29" s="138">
        <v>27</v>
      </c>
      <c r="B29" s="163" t="str">
        <f>Квар.реализация!B8</f>
        <v xml:space="preserve"> г. Янаул</v>
      </c>
      <c r="C29" s="163" t="str">
        <f>Квар.реализация!C8</f>
        <v>ул. Пархоменко, д.2</v>
      </c>
      <c r="D29" s="163">
        <f>Квар.реализация!J8</f>
        <v>46.1</v>
      </c>
      <c r="E29" s="166">
        <f>Квар.реализация!M8</f>
        <v>2013</v>
      </c>
      <c r="F29" s="166" t="s">
        <v>581</v>
      </c>
      <c r="G29" s="160">
        <v>1290800</v>
      </c>
      <c r="H29" s="161"/>
      <c r="I29" s="172">
        <f>G29-G29*H29</f>
        <v>1290800</v>
      </c>
      <c r="J29" s="205">
        <f>IF(I29-K29&lt;0,I29-K29,0)</f>
        <v>-568273.94999999995</v>
      </c>
      <c r="K29" s="163">
        <f>Квар.реализация!O8</f>
        <v>1859073.95</v>
      </c>
      <c r="L29" s="160">
        <f>I29-K29</f>
        <v>-568273.94999999995</v>
      </c>
      <c r="M29" s="163">
        <f>Квар.реализация!AD8</f>
        <v>1060300</v>
      </c>
      <c r="N29" s="160">
        <f>M29/D29</f>
        <v>23000</v>
      </c>
      <c r="O29" s="164">
        <f>(I29-M29)/I29</f>
        <v>0.17857142857142858</v>
      </c>
      <c r="P29" s="164">
        <f>(K29-M29)/K29</f>
        <v>0.42966227889966396</v>
      </c>
      <c r="Q29" s="144">
        <f>IF(P29&lt;20%,M29,ROUNDUP(K29*0.8/1000,0)*1000)</f>
        <v>1488000</v>
      </c>
      <c r="R29" s="163">
        <f>-PMT(9.4%/12,15*12,Q29*0.9)</f>
        <v>13903.560916970458</v>
      </c>
      <c r="S29" s="160">
        <f>2%*I29</f>
        <v>25816</v>
      </c>
      <c r="T29" s="171">
        <f>K29*(1/125/12*1.5+0/12)+5.2*D29+I29/15/12-S29/15/12</f>
        <v>9126.4828388888891</v>
      </c>
      <c r="U29" s="167" t="str">
        <f t="shared" si="10"/>
        <v/>
      </c>
      <c r="V29" s="148">
        <f>M29-K29</f>
        <v>-798773.95</v>
      </c>
      <c r="W29" s="152" t="str">
        <f>IF(LEN(U29)&gt;0,I29*(1-U29),"")</f>
        <v/>
      </c>
      <c r="X29" s="153" t="str">
        <f t="shared" si="13"/>
        <v/>
      </c>
      <c r="Y29" s="132">
        <v>0</v>
      </c>
      <c r="Z29" s="155">
        <f>(T29-R29)/R29</f>
        <v>-0.34358666147538836</v>
      </c>
      <c r="AA29" s="132">
        <f>T29-R29</f>
        <v>-4777.0780780815694</v>
      </c>
      <c r="AB29" s="202">
        <f>Q29-G29</f>
        <v>197200</v>
      </c>
    </row>
    <row r="30" spans="1:28" ht="18" customHeight="1" x14ac:dyDescent="0.25">
      <c r="A30" s="138">
        <v>28</v>
      </c>
      <c r="B30" s="163" t="str">
        <f>Квар.реализация!B9</f>
        <v xml:space="preserve"> г. Янаул</v>
      </c>
      <c r="C30" s="163" t="str">
        <f>Квар.реализация!C9</f>
        <v>ул. Пархоменко, д.2</v>
      </c>
      <c r="D30" s="163">
        <f>Квар.реализация!J9</f>
        <v>46.2</v>
      </c>
      <c r="E30" s="166">
        <f>Квар.реализация!M9</f>
        <v>2013</v>
      </c>
      <c r="F30" s="166" t="s">
        <v>581</v>
      </c>
      <c r="G30" s="160">
        <v>1293600</v>
      </c>
      <c r="H30" s="161"/>
      <c r="I30" s="172">
        <f>G30-G30*H30</f>
        <v>1293600</v>
      </c>
      <c r="J30" s="205">
        <f t="shared" ref="J30:J39" si="18">IF(I30-K30&lt;0,I30-K30,0)</f>
        <v>0</v>
      </c>
      <c r="K30" s="163">
        <f>Квар.реализация!O9</f>
        <v>1144096.83</v>
      </c>
      <c r="L30" s="160">
        <f>I30-K30</f>
        <v>149503.16999999993</v>
      </c>
      <c r="M30" s="163">
        <f>Квар.реализация!AD9</f>
        <v>1062600</v>
      </c>
      <c r="N30" s="160">
        <f>M30/D30</f>
        <v>23000</v>
      </c>
      <c r="O30" s="164">
        <f>(I30-M30)/I30</f>
        <v>0.17857142857142858</v>
      </c>
      <c r="P30" s="164">
        <f>(K30-M30)/K30</f>
        <v>7.123245853237796E-2</v>
      </c>
      <c r="Q30" s="144">
        <f t="shared" ref="Q30:Q39" si="19">IF(P30&lt;20%,M30,ROUNDUP(K30*0.8/1000,0)*1000)</f>
        <v>1062600</v>
      </c>
      <c r="R30" s="163">
        <f>-PMT(9.4%/12,15*12,Q30*0.9)</f>
        <v>9928.7122515946303</v>
      </c>
      <c r="S30" s="160">
        <f>2%*I30</f>
        <v>25872</v>
      </c>
      <c r="T30" s="171">
        <f>K30*(1/125/12*1.5+0/12)+5.2*D30+I30/15/12-S30/15/12</f>
        <v>8427.2701633333345</v>
      </c>
      <c r="U30" s="165" t="str">
        <f>IF(R30&lt;T30,(T30-R30)*12*15/I30,"")</f>
        <v/>
      </c>
      <c r="V30" s="148">
        <f>M30-K30</f>
        <v>-81496.830000000075</v>
      </c>
      <c r="W30" s="152" t="str">
        <f>IF(LEN(U30)&gt;0,I30*(1-U30),"")</f>
        <v/>
      </c>
      <c r="X30" s="153" t="str">
        <f>IF(OR((1-Q30/I30)&gt;U30,U30=""),"","Более 20%")</f>
        <v/>
      </c>
      <c r="Y30" s="132" t="e">
        <f>W30-K30</f>
        <v>#VALUE!</v>
      </c>
      <c r="Z30" s="155">
        <f>(T30-R30)/R30</f>
        <v>-0.15122223811251578</v>
      </c>
      <c r="AA30" s="132">
        <f>T30-R30</f>
        <v>-1501.4420882612958</v>
      </c>
      <c r="AB30" s="202">
        <f>Q30-G30</f>
        <v>-231000</v>
      </c>
    </row>
    <row r="31" spans="1:28" ht="18" customHeight="1" x14ac:dyDescent="0.25">
      <c r="A31" s="138">
        <v>29</v>
      </c>
      <c r="B31" s="163" t="str">
        <f>Квар.реализация!B99</f>
        <v xml:space="preserve"> г. Янаул</v>
      </c>
      <c r="C31" s="163" t="str">
        <f>Квар.реализация!C99</f>
        <v xml:space="preserve"> ул. Якутова, д. 5</v>
      </c>
      <c r="D31" s="163">
        <f>Квар.реализация!J99</f>
        <v>35.700000000000003</v>
      </c>
      <c r="E31" s="166">
        <f>Квар.реализация!M99</f>
        <v>2016</v>
      </c>
      <c r="F31" s="166" t="s">
        <v>581</v>
      </c>
      <c r="G31" s="160">
        <v>1142400</v>
      </c>
      <c r="H31" s="161"/>
      <c r="I31" s="172">
        <f t="shared" ref="I31:I39" si="20">G31-G31*H31</f>
        <v>1142400</v>
      </c>
      <c r="J31" s="205">
        <f t="shared" si="18"/>
        <v>0</v>
      </c>
      <c r="K31" s="163">
        <f>Квар.реализация!O99</f>
        <v>1019704.61</v>
      </c>
      <c r="L31" s="160">
        <f t="shared" ref="L31:L39" si="21">I31-K31</f>
        <v>122695.39000000001</v>
      </c>
      <c r="M31" s="163">
        <f>Квар.реализация!AD99</f>
        <v>856800.00000000012</v>
      </c>
      <c r="N31" s="160">
        <f t="shared" ref="N31:N39" si="22">M31/D31</f>
        <v>24000</v>
      </c>
      <c r="O31" s="164">
        <f t="shared" ref="O31:O39" si="23">(I31-M31)/I31</f>
        <v>0.24999999999999989</v>
      </c>
      <c r="P31" s="164">
        <f t="shared" ref="P31:P39" si="24">(K31-M31)/K31</f>
        <v>0.15975666717835066</v>
      </c>
      <c r="Q31" s="143">
        <f t="shared" si="19"/>
        <v>856800.00000000012</v>
      </c>
      <c r="R31" s="160">
        <f t="shared" ref="R31:R39" si="25">-PMT(9.4%/12,15*12,Q31*0.9)</f>
        <v>8005.7600763846049</v>
      </c>
      <c r="S31" s="160">
        <f t="shared" ref="S31:S39" si="26">2%*I31</f>
        <v>22848</v>
      </c>
      <c r="T31" s="171">
        <f t="shared" ref="T31:T39" si="27">K31*(1/125/12*1.5+0/12)+5.2*D31+I31/15/12-S31/15/12</f>
        <v>7425.0779433333337</v>
      </c>
      <c r="U31" s="162" t="str">
        <f t="shared" ref="U31:U39" si="28">IF(R31&lt;T31,(T31-R31)*12*15/I31,"")</f>
        <v/>
      </c>
      <c r="V31" s="148">
        <f t="shared" ref="V31:V39" si="29">M31-K31</f>
        <v>-162904.60999999987</v>
      </c>
      <c r="W31" s="152" t="str">
        <f t="shared" ref="W31:W39" si="30">IF(LEN(U31)&gt;0,I31*(1-U31),"")</f>
        <v/>
      </c>
      <c r="X31" s="153" t="str">
        <f t="shared" ref="X31:X39" si="31">IF(OR((1-Q31/I31)&gt;U31,U31=""),"","Более 20%")</f>
        <v/>
      </c>
      <c r="Y31" s="132" t="e">
        <f t="shared" ref="Y31:Y39" si="32">W31-K31</f>
        <v>#VALUE!</v>
      </c>
      <c r="Z31" s="155">
        <f t="shared" ref="Z31:Z39" si="33">(T31-R31)/R31</f>
        <v>-7.2533042148511001E-2</v>
      </c>
      <c r="AA31" s="132">
        <f t="shared" ref="AA31:AA39" si="34">T31-R31</f>
        <v>-580.68213305127119</v>
      </c>
      <c r="AB31" s="202">
        <f t="shared" ref="AB31:AB39" si="35">Q31-G31</f>
        <v>-285599.99999999988</v>
      </c>
    </row>
    <row r="32" spans="1:28" ht="18" customHeight="1" x14ac:dyDescent="0.25">
      <c r="A32" s="138">
        <v>30</v>
      </c>
      <c r="B32" s="163" t="str">
        <f>Квар.реализация!B100</f>
        <v xml:space="preserve"> г. Янаул</v>
      </c>
      <c r="C32" s="163" t="str">
        <f>Квар.реализация!C100</f>
        <v xml:space="preserve"> ул. Якутова, д. 5</v>
      </c>
      <c r="D32" s="163">
        <f>Квар.реализация!J100</f>
        <v>50.8</v>
      </c>
      <c r="E32" s="166">
        <f>Квар.реализация!M100</f>
        <v>2016</v>
      </c>
      <c r="F32" s="166" t="s">
        <v>581</v>
      </c>
      <c r="G32" s="160">
        <v>1625600</v>
      </c>
      <c r="H32" s="161"/>
      <c r="I32" s="172">
        <f t="shared" si="20"/>
        <v>1625600</v>
      </c>
      <c r="J32" s="205">
        <f t="shared" si="18"/>
        <v>0</v>
      </c>
      <c r="K32" s="163">
        <f>Квар.реализация!O100</f>
        <v>1449121.13</v>
      </c>
      <c r="L32" s="160">
        <f t="shared" si="21"/>
        <v>176478.87000000011</v>
      </c>
      <c r="M32" s="163">
        <f>Квар.реализация!AD100</f>
        <v>1219200</v>
      </c>
      <c r="N32" s="160">
        <f t="shared" si="22"/>
        <v>24000</v>
      </c>
      <c r="O32" s="164">
        <f t="shared" si="23"/>
        <v>0.25</v>
      </c>
      <c r="P32" s="164">
        <f t="shared" si="24"/>
        <v>0.15866246460708217</v>
      </c>
      <c r="Q32" s="143">
        <f t="shared" si="19"/>
        <v>1219200</v>
      </c>
      <c r="R32" s="160">
        <f t="shared" si="25"/>
        <v>11391.949912614506</v>
      </c>
      <c r="S32" s="160">
        <f t="shared" si="26"/>
        <v>32512</v>
      </c>
      <c r="T32" s="171">
        <f t="shared" si="27"/>
        <v>10563.770018888888</v>
      </c>
      <c r="U32" s="162" t="str">
        <f t="shared" si="28"/>
        <v/>
      </c>
      <c r="V32" s="148">
        <f t="shared" si="29"/>
        <v>-229921.12999999989</v>
      </c>
      <c r="W32" s="152" t="str">
        <f t="shared" si="30"/>
        <v/>
      </c>
      <c r="X32" s="153" t="str">
        <f t="shared" si="31"/>
        <v/>
      </c>
      <c r="Y32" s="132" t="e">
        <f t="shared" si="32"/>
        <v>#VALUE!</v>
      </c>
      <c r="Z32" s="155">
        <f t="shared" si="33"/>
        <v>-7.269869513809564E-2</v>
      </c>
      <c r="AA32" s="132">
        <f t="shared" si="34"/>
        <v>-828.17989372561715</v>
      </c>
      <c r="AB32" s="202">
        <f t="shared" si="35"/>
        <v>-406400</v>
      </c>
    </row>
    <row r="33" spans="1:28" ht="18" customHeight="1" x14ac:dyDescent="0.25">
      <c r="A33" s="138">
        <v>31</v>
      </c>
      <c r="B33" s="163" t="str">
        <f>Квар.реализация!B101</f>
        <v xml:space="preserve"> г. Янаул</v>
      </c>
      <c r="C33" s="163" t="str">
        <f>Квар.реализация!C101</f>
        <v xml:space="preserve"> ул. Якутова, д. 5</v>
      </c>
      <c r="D33" s="163">
        <f>Квар.реализация!J101</f>
        <v>50.6</v>
      </c>
      <c r="E33" s="166">
        <f>Квар.реализация!M101</f>
        <v>2016</v>
      </c>
      <c r="F33" s="166" t="s">
        <v>581</v>
      </c>
      <c r="G33" s="160">
        <v>1619200</v>
      </c>
      <c r="H33" s="161"/>
      <c r="I33" s="172">
        <f t="shared" si="20"/>
        <v>1619200</v>
      </c>
      <c r="J33" s="205">
        <f t="shared" si="18"/>
        <v>0</v>
      </c>
      <c r="K33" s="163">
        <f>Квар.реализация!O101</f>
        <v>1449121.13</v>
      </c>
      <c r="L33" s="160">
        <f t="shared" si="21"/>
        <v>170078.87000000011</v>
      </c>
      <c r="M33" s="163">
        <f>Квар.реализация!AD101</f>
        <v>1214400</v>
      </c>
      <c r="N33" s="160">
        <f t="shared" si="22"/>
        <v>24000</v>
      </c>
      <c r="O33" s="164">
        <f t="shared" si="23"/>
        <v>0.25</v>
      </c>
      <c r="P33" s="164">
        <f t="shared" si="24"/>
        <v>0.16197481710862907</v>
      </c>
      <c r="Q33" s="143">
        <f t="shared" si="19"/>
        <v>1214400</v>
      </c>
      <c r="R33" s="160">
        <f t="shared" si="25"/>
        <v>11347.099716108149</v>
      </c>
      <c r="S33" s="160">
        <f t="shared" si="26"/>
        <v>32384</v>
      </c>
      <c r="T33" s="171">
        <f t="shared" si="27"/>
        <v>10527.885574444446</v>
      </c>
      <c r="U33" s="162" t="str">
        <f t="shared" si="28"/>
        <v/>
      </c>
      <c r="V33" s="148">
        <f t="shared" si="29"/>
        <v>-234721.12999999989</v>
      </c>
      <c r="W33" s="152" t="str">
        <f t="shared" si="30"/>
        <v/>
      </c>
      <c r="X33" s="153" t="str">
        <f t="shared" si="31"/>
        <v/>
      </c>
      <c r="Y33" s="132" t="e">
        <f t="shared" si="32"/>
        <v>#VALUE!</v>
      </c>
      <c r="Z33" s="155">
        <f t="shared" si="33"/>
        <v>-7.2195905752089229E-2</v>
      </c>
      <c r="AA33" s="132">
        <f t="shared" si="34"/>
        <v>-819.21414166370232</v>
      </c>
      <c r="AB33" s="202">
        <f t="shared" si="35"/>
        <v>-404800</v>
      </c>
    </row>
    <row r="34" spans="1:28" ht="18" customHeight="1" x14ac:dyDescent="0.25">
      <c r="A34" s="138">
        <v>32</v>
      </c>
      <c r="B34" s="163" t="str">
        <f>Квар.реализация!B102</f>
        <v xml:space="preserve"> г. Янаул</v>
      </c>
      <c r="C34" s="163" t="str">
        <f>Квар.реализация!C102</f>
        <v xml:space="preserve"> ул. Якутова, д. 5</v>
      </c>
      <c r="D34" s="163">
        <f>Квар.реализация!J102</f>
        <v>50.6</v>
      </c>
      <c r="E34" s="166">
        <f>Квар.реализация!M102</f>
        <v>2016</v>
      </c>
      <c r="F34" s="166" t="s">
        <v>581</v>
      </c>
      <c r="G34" s="160">
        <v>1619200</v>
      </c>
      <c r="H34" s="161"/>
      <c r="I34" s="172">
        <f t="shared" si="20"/>
        <v>1619200</v>
      </c>
      <c r="J34" s="205">
        <f t="shared" si="18"/>
        <v>0</v>
      </c>
      <c r="K34" s="163">
        <f>Квар.реализация!O102</f>
        <v>1449121.13</v>
      </c>
      <c r="L34" s="160">
        <f t="shared" si="21"/>
        <v>170078.87000000011</v>
      </c>
      <c r="M34" s="163">
        <f>Квар.реализация!AD102</f>
        <v>1214400</v>
      </c>
      <c r="N34" s="160">
        <f t="shared" si="22"/>
        <v>24000</v>
      </c>
      <c r="O34" s="164">
        <f t="shared" si="23"/>
        <v>0.25</v>
      </c>
      <c r="P34" s="164">
        <f t="shared" si="24"/>
        <v>0.16197481710862907</v>
      </c>
      <c r="Q34" s="143">
        <f t="shared" si="19"/>
        <v>1214400</v>
      </c>
      <c r="R34" s="160">
        <f t="shared" si="25"/>
        <v>11347.099716108149</v>
      </c>
      <c r="S34" s="160">
        <f t="shared" si="26"/>
        <v>32384</v>
      </c>
      <c r="T34" s="171">
        <f t="shared" si="27"/>
        <v>10527.885574444446</v>
      </c>
      <c r="U34" s="162" t="str">
        <f t="shared" si="28"/>
        <v/>
      </c>
      <c r="V34" s="148">
        <f t="shared" si="29"/>
        <v>-234721.12999999989</v>
      </c>
      <c r="W34" s="152" t="str">
        <f t="shared" si="30"/>
        <v/>
      </c>
      <c r="X34" s="153" t="str">
        <f t="shared" si="31"/>
        <v/>
      </c>
      <c r="Y34" s="132" t="e">
        <f t="shared" si="32"/>
        <v>#VALUE!</v>
      </c>
      <c r="Z34" s="155">
        <f t="shared" si="33"/>
        <v>-7.2195905752089229E-2</v>
      </c>
      <c r="AA34" s="132">
        <f t="shared" si="34"/>
        <v>-819.21414166370232</v>
      </c>
      <c r="AB34" s="202">
        <f t="shared" si="35"/>
        <v>-404800</v>
      </c>
    </row>
    <row r="35" spans="1:28" ht="18" customHeight="1" x14ac:dyDescent="0.25">
      <c r="A35" s="138">
        <v>33</v>
      </c>
      <c r="B35" s="163" t="str">
        <f>Квар.реализация!B103</f>
        <v xml:space="preserve"> г. Янаул</v>
      </c>
      <c r="C35" s="163" t="str">
        <f>Квар.реализация!C103</f>
        <v xml:space="preserve"> ул. Якутова, д. 5</v>
      </c>
      <c r="D35" s="163">
        <f>Квар.реализация!J103</f>
        <v>34.9</v>
      </c>
      <c r="E35" s="166">
        <f>Квар.реализация!M103</f>
        <v>2016</v>
      </c>
      <c r="F35" s="166" t="s">
        <v>581</v>
      </c>
      <c r="G35" s="160">
        <v>1116800</v>
      </c>
      <c r="H35" s="161"/>
      <c r="I35" s="172">
        <f t="shared" si="20"/>
        <v>1116800</v>
      </c>
      <c r="J35" s="205">
        <f t="shared" si="18"/>
        <v>0</v>
      </c>
      <c r="K35" s="163">
        <f>Квар.реализация!O103</f>
        <v>1019704.61</v>
      </c>
      <c r="L35" s="160">
        <f t="shared" si="21"/>
        <v>97095.390000000014</v>
      </c>
      <c r="M35" s="163">
        <f>Квар.реализация!AD103</f>
        <v>837600</v>
      </c>
      <c r="N35" s="160">
        <f t="shared" si="22"/>
        <v>24000</v>
      </c>
      <c r="O35" s="164">
        <f t="shared" si="23"/>
        <v>0.25</v>
      </c>
      <c r="P35" s="164">
        <f t="shared" si="24"/>
        <v>0.17858564942645497</v>
      </c>
      <c r="Q35" s="143">
        <f t="shared" si="19"/>
        <v>837600</v>
      </c>
      <c r="R35" s="160">
        <f t="shared" si="25"/>
        <v>7826.3592903591771</v>
      </c>
      <c r="S35" s="160">
        <f t="shared" si="26"/>
        <v>22336</v>
      </c>
      <c r="T35" s="171">
        <f t="shared" si="27"/>
        <v>7281.5401655555561</v>
      </c>
      <c r="U35" s="162" t="str">
        <f t="shared" si="28"/>
        <v/>
      </c>
      <c r="V35" s="148">
        <f t="shared" si="29"/>
        <v>-182104.61</v>
      </c>
      <c r="W35" s="152" t="str">
        <f t="shared" si="30"/>
        <v/>
      </c>
      <c r="X35" s="153" t="str">
        <f t="shared" si="31"/>
        <v/>
      </c>
      <c r="Y35" s="132" t="e">
        <f t="shared" si="32"/>
        <v>#VALUE!</v>
      </c>
      <c r="Z35" s="155">
        <f t="shared" si="33"/>
        <v>-6.9613354637928643E-2</v>
      </c>
      <c r="AA35" s="132">
        <f t="shared" si="34"/>
        <v>-544.81912480362098</v>
      </c>
      <c r="AB35" s="202">
        <f t="shared" si="35"/>
        <v>-279200</v>
      </c>
    </row>
    <row r="36" spans="1:28" ht="18" customHeight="1" x14ac:dyDescent="0.25">
      <c r="A36" s="138">
        <v>34</v>
      </c>
      <c r="B36" s="163" t="str">
        <f>Квар.реализация!B104</f>
        <v xml:space="preserve"> г. Янаул</v>
      </c>
      <c r="C36" s="163" t="str">
        <f>Квар.реализация!C104</f>
        <v xml:space="preserve"> ул. Якутова, д. 5</v>
      </c>
      <c r="D36" s="163">
        <f>Квар.реализация!J104</f>
        <v>34.9</v>
      </c>
      <c r="E36" s="166">
        <f>Квар.реализация!M104</f>
        <v>2016</v>
      </c>
      <c r="F36" s="166" t="s">
        <v>581</v>
      </c>
      <c r="G36" s="160">
        <v>1116800</v>
      </c>
      <c r="H36" s="161"/>
      <c r="I36" s="172">
        <f t="shared" si="20"/>
        <v>1116800</v>
      </c>
      <c r="J36" s="205">
        <f t="shared" si="18"/>
        <v>0</v>
      </c>
      <c r="K36" s="163">
        <f>Квар.реализация!O104</f>
        <v>1019704.61</v>
      </c>
      <c r="L36" s="160">
        <f t="shared" si="21"/>
        <v>97095.390000000014</v>
      </c>
      <c r="M36" s="163">
        <f>Квар.реализация!AD104</f>
        <v>837600</v>
      </c>
      <c r="N36" s="160">
        <f t="shared" si="22"/>
        <v>24000</v>
      </c>
      <c r="O36" s="164">
        <f t="shared" si="23"/>
        <v>0.25</v>
      </c>
      <c r="P36" s="164">
        <f t="shared" si="24"/>
        <v>0.17858564942645497</v>
      </c>
      <c r="Q36" s="143">
        <f t="shared" si="19"/>
        <v>837600</v>
      </c>
      <c r="R36" s="160">
        <f t="shared" si="25"/>
        <v>7826.3592903591771</v>
      </c>
      <c r="S36" s="160">
        <f t="shared" si="26"/>
        <v>22336</v>
      </c>
      <c r="T36" s="171">
        <f t="shared" si="27"/>
        <v>7281.5401655555561</v>
      </c>
      <c r="U36" s="162" t="str">
        <f t="shared" si="28"/>
        <v/>
      </c>
      <c r="V36" s="148">
        <f t="shared" si="29"/>
        <v>-182104.61</v>
      </c>
      <c r="W36" s="152" t="str">
        <f t="shared" si="30"/>
        <v/>
      </c>
      <c r="X36" s="153" t="str">
        <f t="shared" si="31"/>
        <v/>
      </c>
      <c r="Y36" s="132" t="e">
        <f t="shared" si="32"/>
        <v>#VALUE!</v>
      </c>
      <c r="Z36" s="155">
        <f t="shared" si="33"/>
        <v>-6.9613354637928643E-2</v>
      </c>
      <c r="AA36" s="132">
        <f t="shared" si="34"/>
        <v>-544.81912480362098</v>
      </c>
      <c r="AB36" s="202">
        <f t="shared" si="35"/>
        <v>-279200</v>
      </c>
    </row>
    <row r="37" spans="1:28" ht="18" customHeight="1" x14ac:dyDescent="0.25">
      <c r="A37" s="138">
        <v>35</v>
      </c>
      <c r="B37" s="163" t="str">
        <f>Квар.реализация!B105</f>
        <v xml:space="preserve"> г. Янаул</v>
      </c>
      <c r="C37" s="163" t="str">
        <f>Квар.реализация!C105</f>
        <v xml:space="preserve"> ул. Якутова, д. 5</v>
      </c>
      <c r="D37" s="163">
        <f>Квар.реализация!J105</f>
        <v>30.5</v>
      </c>
      <c r="E37" s="166">
        <f>Квар.реализация!M105</f>
        <v>2016</v>
      </c>
      <c r="F37" s="166" t="s">
        <v>581</v>
      </c>
      <c r="G37" s="160">
        <v>976000</v>
      </c>
      <c r="H37" s="161"/>
      <c r="I37" s="172">
        <f t="shared" si="20"/>
        <v>976000</v>
      </c>
      <c r="J37" s="205">
        <f t="shared" si="18"/>
        <v>-83587.600000000093</v>
      </c>
      <c r="K37" s="163">
        <f>Квар.реализация!O105</f>
        <v>1059587.6000000001</v>
      </c>
      <c r="L37" s="160">
        <f t="shared" si="21"/>
        <v>-83587.600000000093</v>
      </c>
      <c r="M37" s="163">
        <f>Квар.реализация!AD105</f>
        <v>732000</v>
      </c>
      <c r="N37" s="160">
        <f t="shared" si="22"/>
        <v>24000</v>
      </c>
      <c r="O37" s="164">
        <f t="shared" si="23"/>
        <v>0.25</v>
      </c>
      <c r="P37" s="164">
        <f t="shared" si="24"/>
        <v>0.30916518841858859</v>
      </c>
      <c r="Q37" s="143">
        <f t="shared" si="19"/>
        <v>848000</v>
      </c>
      <c r="R37" s="160">
        <f t="shared" si="25"/>
        <v>7923.5347161229502</v>
      </c>
      <c r="S37" s="160">
        <f t="shared" si="26"/>
        <v>19520</v>
      </c>
      <c r="T37" s="171">
        <f t="shared" si="27"/>
        <v>6531.9653777777776</v>
      </c>
      <c r="U37" s="162" t="str">
        <f t="shared" si="28"/>
        <v/>
      </c>
      <c r="V37" s="148">
        <f t="shared" si="29"/>
        <v>-327587.60000000009</v>
      </c>
      <c r="W37" s="152" t="str">
        <f t="shared" si="30"/>
        <v/>
      </c>
      <c r="X37" s="153" t="str">
        <f t="shared" si="31"/>
        <v/>
      </c>
      <c r="Y37" s="132" t="e">
        <f t="shared" si="32"/>
        <v>#VALUE!</v>
      </c>
      <c r="Z37" s="155">
        <f t="shared" si="33"/>
        <v>-0.17562481748374023</v>
      </c>
      <c r="AA37" s="132">
        <f t="shared" si="34"/>
        <v>-1391.5693383451726</v>
      </c>
      <c r="AB37" s="202">
        <f t="shared" si="35"/>
        <v>-128000</v>
      </c>
    </row>
    <row r="38" spans="1:28" ht="18" customHeight="1" x14ac:dyDescent="0.25">
      <c r="A38" s="138">
        <v>36</v>
      </c>
      <c r="B38" s="163" t="str">
        <f>Квар.реализация!B106</f>
        <v xml:space="preserve"> г. Янаул</v>
      </c>
      <c r="C38" s="163" t="str">
        <f>Квар.реализация!C106</f>
        <v xml:space="preserve"> ул. Якутова, д. 5</v>
      </c>
      <c r="D38" s="163">
        <f>Квар.реализация!J106</f>
        <v>35</v>
      </c>
      <c r="E38" s="166">
        <f>Квар.реализация!M106</f>
        <v>2016</v>
      </c>
      <c r="F38" s="166" t="s">
        <v>581</v>
      </c>
      <c r="G38" s="160">
        <v>1120000</v>
      </c>
      <c r="H38" s="161"/>
      <c r="I38" s="172">
        <f t="shared" si="20"/>
        <v>1120000</v>
      </c>
      <c r="J38" s="205">
        <f t="shared" si="18"/>
        <v>0</v>
      </c>
      <c r="K38" s="163">
        <f>Квар.реализация!O106</f>
        <v>1019704.61</v>
      </c>
      <c r="L38" s="160">
        <f t="shared" si="21"/>
        <v>100295.39000000001</v>
      </c>
      <c r="M38" s="163">
        <f>Квар.реализация!AD106</f>
        <v>840000</v>
      </c>
      <c r="N38" s="160">
        <f t="shared" si="22"/>
        <v>24000</v>
      </c>
      <c r="O38" s="164">
        <f t="shared" si="23"/>
        <v>0.25</v>
      </c>
      <c r="P38" s="164">
        <f t="shared" si="24"/>
        <v>0.17623202664544194</v>
      </c>
      <c r="Q38" s="143">
        <f t="shared" si="19"/>
        <v>840000</v>
      </c>
      <c r="R38" s="160">
        <f t="shared" si="25"/>
        <v>7848.7843886123555</v>
      </c>
      <c r="S38" s="160">
        <f t="shared" si="26"/>
        <v>22400</v>
      </c>
      <c r="T38" s="171">
        <f t="shared" si="27"/>
        <v>7299.4823877777781</v>
      </c>
      <c r="U38" s="162" t="str">
        <f t="shared" si="28"/>
        <v/>
      </c>
      <c r="V38" s="148">
        <f t="shared" si="29"/>
        <v>-179704.61</v>
      </c>
      <c r="W38" s="152" t="str">
        <f t="shared" si="30"/>
        <v/>
      </c>
      <c r="X38" s="153" t="str">
        <f t="shared" si="31"/>
        <v/>
      </c>
      <c r="Y38" s="132" t="e">
        <f t="shared" si="32"/>
        <v>#VALUE!</v>
      </c>
      <c r="Z38" s="155">
        <f t="shared" si="33"/>
        <v>-6.9985614795527923E-2</v>
      </c>
      <c r="AA38" s="132">
        <f t="shared" si="34"/>
        <v>-549.30200083457748</v>
      </c>
      <c r="AB38" s="202">
        <f t="shared" si="35"/>
        <v>-280000</v>
      </c>
    </row>
    <row r="39" spans="1:28" ht="18" customHeight="1" x14ac:dyDescent="0.25">
      <c r="A39" s="138">
        <v>37</v>
      </c>
      <c r="B39" s="163" t="str">
        <f>Квар.реализация!B107</f>
        <v xml:space="preserve"> г. Янаул</v>
      </c>
      <c r="C39" s="163" t="str">
        <f>Квар.реализация!C107</f>
        <v xml:space="preserve"> ул. Якутова, д. 5</v>
      </c>
      <c r="D39" s="163">
        <f>Квар.реализация!J107</f>
        <v>33.4</v>
      </c>
      <c r="E39" s="166">
        <f>Квар.реализация!M107</f>
        <v>2016</v>
      </c>
      <c r="F39" s="166" t="s">
        <v>581</v>
      </c>
      <c r="G39" s="160">
        <v>1068800</v>
      </c>
      <c r="H39" s="161"/>
      <c r="I39" s="172">
        <f t="shared" si="20"/>
        <v>1068800</v>
      </c>
      <c r="J39" s="205">
        <f t="shared" si="18"/>
        <v>0</v>
      </c>
      <c r="K39" s="163">
        <f>Квар.реализация!O107</f>
        <v>990883.33</v>
      </c>
      <c r="L39" s="160">
        <f t="shared" si="21"/>
        <v>77916.670000000042</v>
      </c>
      <c r="M39" s="163">
        <f>Квар.реализация!AD107</f>
        <v>801600</v>
      </c>
      <c r="N39" s="160">
        <f t="shared" si="22"/>
        <v>24000</v>
      </c>
      <c r="O39" s="164">
        <f t="shared" si="23"/>
        <v>0.25</v>
      </c>
      <c r="P39" s="164">
        <f t="shared" si="24"/>
        <v>0.19102484043202136</v>
      </c>
      <c r="Q39" s="143">
        <f t="shared" si="19"/>
        <v>801600</v>
      </c>
      <c r="R39" s="160">
        <f t="shared" si="25"/>
        <v>7489.9828165615054</v>
      </c>
      <c r="S39" s="160">
        <f t="shared" si="26"/>
        <v>21376</v>
      </c>
      <c r="T39" s="171">
        <f t="shared" si="27"/>
        <v>6983.5855522222218</v>
      </c>
      <c r="U39" s="162" t="str">
        <f t="shared" si="28"/>
        <v/>
      </c>
      <c r="V39" s="148">
        <f t="shared" si="29"/>
        <v>-189283.32999999996</v>
      </c>
      <c r="W39" s="152" t="str">
        <f t="shared" si="30"/>
        <v/>
      </c>
      <c r="X39" s="153" t="str">
        <f t="shared" si="31"/>
        <v/>
      </c>
      <c r="Y39" s="132" t="e">
        <f t="shared" si="32"/>
        <v>#VALUE!</v>
      </c>
      <c r="Z39" s="155">
        <f t="shared" si="33"/>
        <v>-6.7609936730370218E-2</v>
      </c>
      <c r="AA39" s="132">
        <f t="shared" si="34"/>
        <v>-506.39726433928354</v>
      </c>
      <c r="AB39" s="202">
        <f t="shared" si="35"/>
        <v>-267200</v>
      </c>
    </row>
    <row r="40" spans="1:28" ht="18" customHeight="1" x14ac:dyDescent="0.25">
      <c r="A40" s="138">
        <v>38</v>
      </c>
      <c r="B40" s="163" t="str">
        <f>Квар.реализация!B10</f>
        <v xml:space="preserve"> с. Архангельское</v>
      </c>
      <c r="C40" s="163" t="str">
        <f>Квар.реализация!C10</f>
        <v>ул. Ворошилова, д. 113/1 Б</v>
      </c>
      <c r="D40" s="163">
        <f>Квар.реализация!J10</f>
        <v>60</v>
      </c>
      <c r="E40" s="166">
        <f>Квар.реализация!M10</f>
        <v>2013</v>
      </c>
      <c r="F40" s="166" t="s">
        <v>580</v>
      </c>
      <c r="G40" s="160">
        <v>1500000</v>
      </c>
      <c r="H40" s="161"/>
      <c r="I40" s="172">
        <f>G40-G40*H40</f>
        <v>1500000</v>
      </c>
      <c r="J40" s="205">
        <f>IF(I40-K40&lt;0,I40-K40,0)</f>
        <v>-125192.82000000007</v>
      </c>
      <c r="K40" s="163">
        <f>Квар.реализация!O10</f>
        <v>1625192.82</v>
      </c>
      <c r="L40" s="160">
        <f>I40-K40</f>
        <v>-125192.82000000007</v>
      </c>
      <c r="M40" s="163">
        <f>Квар.реализация!AD10</f>
        <v>1500000</v>
      </c>
      <c r="N40" s="160">
        <f>M40/D40</f>
        <v>25000</v>
      </c>
      <c r="O40" s="164">
        <f>(I40-M40)/I40</f>
        <v>0</v>
      </c>
      <c r="P40" s="164">
        <f>(K40-M40)/K40</f>
        <v>7.7032594815426306E-2</v>
      </c>
      <c r="Q40" s="144">
        <f>IF(P40&lt;20%,M40,ROUNDUP(K40*0.8/1000,0)*1000)</f>
        <v>1500000</v>
      </c>
      <c r="R40" s="163">
        <f>-PMT(9.4%/12,15*12,Q40*0.9)</f>
        <v>14015.68640823635</v>
      </c>
      <c r="S40" s="160">
        <f>2%*I40</f>
        <v>30000</v>
      </c>
      <c r="T40" s="171">
        <f>K40*(1/125/12*1.5+0/12)+5.2*D40+I40/15/12-S40/15/12</f>
        <v>10103.859486666668</v>
      </c>
      <c r="U40" s="165" t="str">
        <f>IF(R40&lt;T40,(T40-R40)*12*15/I40,"")</f>
        <v/>
      </c>
      <c r="V40" s="148">
        <f>M40-K40</f>
        <v>-125192.82000000007</v>
      </c>
      <c r="W40" s="152" t="str">
        <f>IF(LEN(U40)&gt;0,I40*(1-U40),"")</f>
        <v/>
      </c>
      <c r="X40" s="153" t="str">
        <f>IF(OR((1-Q40/I40)&gt;U40,U40=""),"","Более 20%")</f>
        <v/>
      </c>
      <c r="Y40" s="132">
        <v>0</v>
      </c>
      <c r="Z40" s="155">
        <f>(T40-R40)/R40</f>
        <v>-0.2791034850259555</v>
      </c>
      <c r="AA40" s="132">
        <f>T40-R40</f>
        <v>-3911.8269215696819</v>
      </c>
      <c r="AB40" s="202">
        <f>Q40-G40</f>
        <v>0</v>
      </c>
    </row>
    <row r="41" spans="1:28" ht="18" customHeight="1" x14ac:dyDescent="0.25">
      <c r="A41" s="138">
        <v>39</v>
      </c>
      <c r="B41" s="163" t="str">
        <f>Квар.реализация!B11</f>
        <v xml:space="preserve"> с. Архангельское</v>
      </c>
      <c r="C41" s="163" t="str">
        <f>Квар.реализация!C11</f>
        <v xml:space="preserve"> ул. Ворошилова, д. 113/1 Б</v>
      </c>
      <c r="D41" s="163">
        <f>Квар.реализация!J11</f>
        <v>46.7</v>
      </c>
      <c r="E41" s="166">
        <f>Квар.реализация!M11</f>
        <v>2013</v>
      </c>
      <c r="F41" s="166" t="s">
        <v>580</v>
      </c>
      <c r="G41" s="160">
        <v>1167500</v>
      </c>
      <c r="H41" s="161"/>
      <c r="I41" s="172">
        <f>G41-G41*H41</f>
        <v>1167500</v>
      </c>
      <c r="J41" s="205">
        <f>IF(I41-K41&lt;0,I41-K41,0)</f>
        <v>-107637.75</v>
      </c>
      <c r="K41" s="163">
        <f>Квар.реализация!O11</f>
        <v>1275137.75</v>
      </c>
      <c r="L41" s="160">
        <f>I41-K41</f>
        <v>-107637.75</v>
      </c>
      <c r="M41" s="163">
        <f>Квар.реализация!AD11</f>
        <v>1167500</v>
      </c>
      <c r="N41" s="160">
        <f>M41/D41</f>
        <v>25000</v>
      </c>
      <c r="O41" s="164">
        <f>(I41-M41)/I41</f>
        <v>0</v>
      </c>
      <c r="P41" s="164">
        <f>(K41-M41)/K41</f>
        <v>8.4412644829940917E-2</v>
      </c>
      <c r="Q41" s="144">
        <f>IF(P41&lt;20%,M41,ROUNDUP(K41*0.8/1000,0)*1000)</f>
        <v>1167500</v>
      </c>
      <c r="R41" s="163">
        <f>-PMT(9.4%/12,15*12,Q41*0.9)</f>
        <v>10908.875921077293</v>
      </c>
      <c r="S41" s="160">
        <f>2%*I41</f>
        <v>23350</v>
      </c>
      <c r="T41" s="171">
        <f>K41*(1/125/12*1.5+0/12)+5.2*D41+I41/15/12-S41/15/12</f>
        <v>7874.3666388888878</v>
      </c>
      <c r="U41" s="165" t="str">
        <f>IF(R41&lt;T41,(T41-R41)*12*15/I41,"")</f>
        <v/>
      </c>
      <c r="V41" s="148">
        <f>M41-K41</f>
        <v>-107637.75</v>
      </c>
      <c r="W41" s="152" t="str">
        <f>IF(LEN(U41)&gt;0,I41*(1-U41),"")</f>
        <v/>
      </c>
      <c r="X41" s="153" t="str">
        <f>IF(OR((1-Q41/I41)&gt;U41,U41=""),"","Более 20%")</f>
        <v/>
      </c>
      <c r="Y41" s="132">
        <v>0</v>
      </c>
      <c r="Z41" s="155">
        <f>(T41-R41)/R41</f>
        <v>-0.27816883280571186</v>
      </c>
      <c r="AA41" s="132">
        <f>T41-R41</f>
        <v>-3034.5092821884055</v>
      </c>
      <c r="AB41" s="202">
        <f>Q41-G41</f>
        <v>0</v>
      </c>
    </row>
    <row r="42" spans="1:28" ht="18" customHeight="1" x14ac:dyDescent="0.25">
      <c r="A42" s="138">
        <v>40</v>
      </c>
      <c r="B42" s="163" t="str">
        <f>Квар.реализация!B12</f>
        <v xml:space="preserve"> с. Архангельское</v>
      </c>
      <c r="C42" s="163" t="str">
        <f>Квар.реализация!C12</f>
        <v>ул. Ворошилова, д. 113/1 Б</v>
      </c>
      <c r="D42" s="163">
        <f>Квар.реализация!J12</f>
        <v>47.2</v>
      </c>
      <c r="E42" s="166">
        <f>Квар.реализация!M12</f>
        <v>2013</v>
      </c>
      <c r="F42" s="166" t="s">
        <v>580</v>
      </c>
      <c r="G42" s="160">
        <v>1180000</v>
      </c>
      <c r="H42" s="161"/>
      <c r="I42" s="172">
        <f>G42-G42*H42</f>
        <v>1180000</v>
      </c>
      <c r="J42" s="205">
        <f>IF(I42-K42&lt;0,I42-K42,0)</f>
        <v>-32541.100000000093</v>
      </c>
      <c r="K42" s="163">
        <f>Квар.реализация!O12</f>
        <v>1212541.1000000001</v>
      </c>
      <c r="L42" s="160">
        <f>I42-K42</f>
        <v>-32541.100000000093</v>
      </c>
      <c r="M42" s="163">
        <f>Квар.реализация!AD12</f>
        <v>1180000</v>
      </c>
      <c r="N42" s="160">
        <f>M42/D42</f>
        <v>25000</v>
      </c>
      <c r="O42" s="164">
        <f>(I42-M42)/I42</f>
        <v>0</v>
      </c>
      <c r="P42" s="164">
        <f>(K42-M42)/K42</f>
        <v>2.6837110923497842E-2</v>
      </c>
      <c r="Q42" s="144">
        <f>IF(P42&lt;20%,M42,ROUNDUP(K42*0.8/1000,0)*1000)</f>
        <v>1180000</v>
      </c>
      <c r="R42" s="163">
        <f>-PMT(9.4%/12,15*12,Q42*0.9)</f>
        <v>11025.673307812596</v>
      </c>
      <c r="S42" s="160">
        <f>2%*I42</f>
        <v>23600</v>
      </c>
      <c r="T42" s="171">
        <f>K42*(1/125/12*1.5+0/12)+5.2*D42+I42/15/12-S42/15/12</f>
        <v>7882.4255444444443</v>
      </c>
      <c r="U42" s="165" t="str">
        <f>IF(R42&lt;T42,(T42-R42)*12*15/I42,"")</f>
        <v/>
      </c>
      <c r="V42" s="148">
        <f>M42-K42</f>
        <v>-32541.100000000093</v>
      </c>
      <c r="W42" s="152" t="str">
        <f>IF(LEN(U42)&gt;0,I42*(1-U42),"")</f>
        <v/>
      </c>
      <c r="X42" s="153" t="str">
        <f>IF(OR((1-Q42/I42)&gt;U42,U42=""),"","Более 20%")</f>
        <v/>
      </c>
      <c r="Y42" s="132">
        <v>0</v>
      </c>
      <c r="Z42" s="155">
        <f>(T42-R42)/R42</f>
        <v>-0.28508442755517727</v>
      </c>
      <c r="AA42" s="132">
        <f>T42-R42</f>
        <v>-3143.2477633681519</v>
      </c>
      <c r="AB42" s="202">
        <f>Q42-G42</f>
        <v>0</v>
      </c>
    </row>
    <row r="43" spans="1:28" ht="18" customHeight="1" x14ac:dyDescent="0.25">
      <c r="A43" s="138">
        <v>41</v>
      </c>
      <c r="B43" s="163" t="str">
        <f>Квар.реализация!B13</f>
        <v xml:space="preserve"> с. Архангельское</v>
      </c>
      <c r="C43" s="163" t="str">
        <f>Квар.реализация!C13</f>
        <v xml:space="preserve"> ул. Ворошилова, д. 113/1 Б</v>
      </c>
      <c r="D43" s="163">
        <f>Квар.реализация!J13</f>
        <v>59.6</v>
      </c>
      <c r="E43" s="166">
        <f>Квар.реализация!M13</f>
        <v>2013</v>
      </c>
      <c r="F43" s="166" t="s">
        <v>580</v>
      </c>
      <c r="G43" s="160">
        <v>1490000</v>
      </c>
      <c r="H43" s="161"/>
      <c r="I43" s="172">
        <f>G43-G43*H43</f>
        <v>1490000</v>
      </c>
      <c r="J43" s="205">
        <f>IF(I43-K43&lt;0,I43-K43,0)</f>
        <v>-124715.80000000005</v>
      </c>
      <c r="K43" s="163">
        <f>Квар.реализация!O13</f>
        <v>1614715.8</v>
      </c>
      <c r="L43" s="160">
        <f>I43-K43</f>
        <v>-124715.80000000005</v>
      </c>
      <c r="M43" s="163">
        <f>Квар.реализация!AD13</f>
        <v>1490000</v>
      </c>
      <c r="N43" s="160">
        <f>M43/D43</f>
        <v>25000</v>
      </c>
      <c r="O43" s="164">
        <f>(I43-M43)/I43</f>
        <v>0</v>
      </c>
      <c r="P43" s="164">
        <f>(K43-M43)/K43</f>
        <v>7.7236997371302143E-2</v>
      </c>
      <c r="Q43" s="144">
        <f>IF(P43&lt;20%,M43,ROUNDUP(K43*0.8/1000,0)*1000)</f>
        <v>1490000</v>
      </c>
      <c r="R43" s="163">
        <f>-PMT(9.4%/12,15*12,Q43*0.9)</f>
        <v>13922.248498848108</v>
      </c>
      <c r="S43" s="160">
        <f>2%*I43</f>
        <v>29800</v>
      </c>
      <c r="T43" s="171">
        <f>K43*(1/125/12*1.5+0/12)+5.2*D43+I43/15/12-S43/15/12</f>
        <v>10036.858022222223</v>
      </c>
      <c r="U43" s="165" t="str">
        <f>IF(R43&lt;T43,(T43-R43)*12*15/I43,"")</f>
        <v/>
      </c>
      <c r="V43" s="148">
        <f>M43-K43</f>
        <v>-124715.80000000005</v>
      </c>
      <c r="W43" s="152" t="str">
        <f>IF(LEN(U43)&gt;0,I43*(1-U43),"")</f>
        <v/>
      </c>
      <c r="X43" s="153" t="str">
        <f>IF(OR((1-Q43/I43)&gt;U43,U43=""),"","Более 20%")</f>
        <v/>
      </c>
      <c r="Y43" s="132">
        <v>0</v>
      </c>
      <c r="Z43" s="155">
        <f>(T43-R43)/R43</f>
        <v>-0.27907779960595824</v>
      </c>
      <c r="AA43" s="132">
        <f>T43-R43</f>
        <v>-3885.3904766258856</v>
      </c>
      <c r="AB43" s="202">
        <f>Q43-G43</f>
        <v>0</v>
      </c>
    </row>
    <row r="44" spans="1:28" ht="18" customHeight="1" x14ac:dyDescent="0.25">
      <c r="A44" s="138">
        <v>42</v>
      </c>
      <c r="B44" s="163" t="str">
        <f>Квар.реализация!B84</f>
        <v xml:space="preserve"> с. Бакалы</v>
      </c>
      <c r="C44" s="163" t="str">
        <f>Квар.реализация!C84</f>
        <v xml:space="preserve"> ул. Шакирьянова, д. 47</v>
      </c>
      <c r="D44" s="163">
        <f>Квар.реализация!J84</f>
        <v>44.7</v>
      </c>
      <c r="E44" s="166">
        <f>Квар.реализация!M84</f>
        <v>2016</v>
      </c>
      <c r="F44" s="166"/>
      <c r="G44" s="160">
        <v>1296300</v>
      </c>
      <c r="H44" s="161"/>
      <c r="I44" s="172">
        <f t="shared" ref="I44:I51" si="36">G44-G44*H44</f>
        <v>1296300</v>
      </c>
      <c r="J44" s="176">
        <f t="shared" ref="J44:J51" si="37">IF(I44-K44&lt;0,I44-K44,0)</f>
        <v>0</v>
      </c>
      <c r="K44" s="163">
        <f>Квар.реализация!O84</f>
        <v>1276842.1499999999</v>
      </c>
      <c r="L44" s="160">
        <f t="shared" ref="L44:L51" si="38">I44-K44</f>
        <v>19457.850000000093</v>
      </c>
      <c r="M44" s="163">
        <f>Квар.реализация!AD84</f>
        <v>992340.00000000012</v>
      </c>
      <c r="N44" s="160">
        <f t="shared" ref="N44:N51" si="39">M44/D44</f>
        <v>22200</v>
      </c>
      <c r="O44" s="164">
        <f t="shared" ref="O44:O51" si="40">(I44-M44)/I44</f>
        <v>0.23448275862068957</v>
      </c>
      <c r="P44" s="164">
        <f t="shared" ref="P44:P51" si="41">(K44-M44)/K44</f>
        <v>0.22281700991778805</v>
      </c>
      <c r="Q44" s="143">
        <f t="shared" ref="Q44:Q51" si="42">IF(P44&lt;20%,M44,ROUNDUP(K44*0.8/1000,0)*1000)</f>
        <v>1022000</v>
      </c>
      <c r="R44" s="160">
        <f t="shared" ref="R44:R51" si="43">-PMT(9.4%/12,15*12,Q44*0.9)</f>
        <v>9549.3543394783665</v>
      </c>
      <c r="S44" s="160">
        <f t="shared" ref="S44:S51" si="44">2%*I44</f>
        <v>25926</v>
      </c>
      <c r="T44" s="171">
        <f t="shared" ref="T44:T51" si="45">K44*(1/125/12*1.5+0/12)+5.2*D44+I44/15/12-S44/15/12</f>
        <v>8566.9154833333341</v>
      </c>
      <c r="U44" s="162" t="str">
        <f t="shared" ref="U44:U51" si="46">IF(R44&lt;T44,(T44-R44)*12*15/I44,"")</f>
        <v/>
      </c>
      <c r="V44" s="148">
        <f t="shared" ref="V44:V51" si="47">M44-K44</f>
        <v>-284502.14999999979</v>
      </c>
      <c r="W44" s="152" t="str">
        <f t="shared" ref="W44:W51" si="48">IF(LEN(U44)&gt;0,I44*(1-U44),"")</f>
        <v/>
      </c>
      <c r="X44" s="153" t="str">
        <f t="shared" ref="X44:X51" si="49">IF(OR((1-Q44/I44)&gt;U44,U44=""),"","Более 20%")</f>
        <v/>
      </c>
      <c r="Y44" s="132" t="e">
        <f t="shared" ref="Y44:Y51" si="50">W44-K44</f>
        <v>#VALUE!</v>
      </c>
      <c r="Z44" s="155">
        <f t="shared" ref="Z44:Z51" si="51">(T44-R44)/R44</f>
        <v>-0.10288013421844582</v>
      </c>
      <c r="AA44" s="132">
        <f t="shared" ref="AA44:AA51" si="52">T44-R44</f>
        <v>-982.43885614503233</v>
      </c>
      <c r="AB44" s="202">
        <f t="shared" ref="AB44:AB51" si="53">Q44-G44</f>
        <v>-274300</v>
      </c>
    </row>
    <row r="45" spans="1:28" ht="18" customHeight="1" x14ac:dyDescent="0.25">
      <c r="A45" s="138">
        <v>43</v>
      </c>
      <c r="B45" s="163" t="str">
        <f>Квар.реализация!B85</f>
        <v xml:space="preserve"> с. Бакалы</v>
      </c>
      <c r="C45" s="163" t="str">
        <f>Квар.реализация!C85</f>
        <v xml:space="preserve"> ул. Шакирьянова, д. 47</v>
      </c>
      <c r="D45" s="163">
        <f>Квар.реализация!J85</f>
        <v>44.5</v>
      </c>
      <c r="E45" s="166">
        <f>Квар.реализация!M85</f>
        <v>2016</v>
      </c>
      <c r="F45" s="166"/>
      <c r="G45" s="160">
        <v>1290500</v>
      </c>
      <c r="H45" s="161"/>
      <c r="I45" s="172">
        <f t="shared" si="36"/>
        <v>1290500</v>
      </c>
      <c r="J45" s="176">
        <f t="shared" si="37"/>
        <v>0</v>
      </c>
      <c r="K45" s="163">
        <f>Квар.реализация!O85</f>
        <v>1276842.1499999999</v>
      </c>
      <c r="L45" s="160">
        <f t="shared" si="38"/>
        <v>13657.850000000093</v>
      </c>
      <c r="M45" s="163">
        <f>Квар.реализация!AD85</f>
        <v>987900</v>
      </c>
      <c r="N45" s="160">
        <f t="shared" si="39"/>
        <v>22200</v>
      </c>
      <c r="O45" s="164">
        <f t="shared" si="40"/>
        <v>0.23448275862068965</v>
      </c>
      <c r="P45" s="164">
        <f t="shared" si="41"/>
        <v>0.22629433873247365</v>
      </c>
      <c r="Q45" s="143">
        <f t="shared" si="42"/>
        <v>1022000</v>
      </c>
      <c r="R45" s="160">
        <f t="shared" si="43"/>
        <v>9549.3543394783665</v>
      </c>
      <c r="S45" s="160">
        <f t="shared" si="44"/>
        <v>25810</v>
      </c>
      <c r="T45" s="171">
        <f t="shared" si="45"/>
        <v>8534.2977055555548</v>
      </c>
      <c r="U45" s="162" t="str">
        <f t="shared" si="46"/>
        <v/>
      </c>
      <c r="V45" s="148">
        <f t="shared" si="47"/>
        <v>-288942.14999999991</v>
      </c>
      <c r="W45" s="152" t="str">
        <f t="shared" si="48"/>
        <v/>
      </c>
      <c r="X45" s="153" t="str">
        <f t="shared" si="49"/>
        <v/>
      </c>
      <c r="Y45" s="132" t="e">
        <f t="shared" si="50"/>
        <v>#VALUE!</v>
      </c>
      <c r="Z45" s="155">
        <f t="shared" si="51"/>
        <v>-0.10629583926176303</v>
      </c>
      <c r="AA45" s="132">
        <f t="shared" si="52"/>
        <v>-1015.0566339228117</v>
      </c>
      <c r="AB45" s="202">
        <f t="shared" si="53"/>
        <v>-268500</v>
      </c>
    </row>
    <row r="46" spans="1:28" ht="18" customHeight="1" x14ac:dyDescent="0.25">
      <c r="A46" s="138">
        <v>44</v>
      </c>
      <c r="B46" s="163" t="str">
        <f>Квар.реализация!B86</f>
        <v xml:space="preserve"> с. Бакалы</v>
      </c>
      <c r="C46" s="163" t="str">
        <f>Квар.реализация!C86</f>
        <v xml:space="preserve"> ул. Шакирьянова, д. 47</v>
      </c>
      <c r="D46" s="163">
        <f>Квар.реализация!J86</f>
        <v>44.6</v>
      </c>
      <c r="E46" s="166">
        <f>Квар.реализация!M86</f>
        <v>2016</v>
      </c>
      <c r="F46" s="166"/>
      <c r="G46" s="160">
        <v>1293400</v>
      </c>
      <c r="H46" s="161"/>
      <c r="I46" s="172">
        <f t="shared" si="36"/>
        <v>1293400</v>
      </c>
      <c r="J46" s="176">
        <f t="shared" si="37"/>
        <v>0</v>
      </c>
      <c r="K46" s="163">
        <f>Квар.реализация!O86</f>
        <v>1276842.1499999999</v>
      </c>
      <c r="L46" s="160">
        <f t="shared" si="38"/>
        <v>16557.850000000093</v>
      </c>
      <c r="M46" s="163">
        <f>Квар.реализация!AD86</f>
        <v>990120</v>
      </c>
      <c r="N46" s="160">
        <f t="shared" si="39"/>
        <v>22200</v>
      </c>
      <c r="O46" s="164">
        <f t="shared" si="40"/>
        <v>0.23448275862068965</v>
      </c>
      <c r="P46" s="164">
        <f t="shared" si="41"/>
        <v>0.22455567432513091</v>
      </c>
      <c r="Q46" s="143">
        <f t="shared" si="42"/>
        <v>1022000</v>
      </c>
      <c r="R46" s="160">
        <f t="shared" si="43"/>
        <v>9549.3543394783665</v>
      </c>
      <c r="S46" s="160">
        <f t="shared" si="44"/>
        <v>25868</v>
      </c>
      <c r="T46" s="171">
        <f t="shared" si="45"/>
        <v>8550.6065944444435</v>
      </c>
      <c r="U46" s="162" t="str">
        <f t="shared" si="46"/>
        <v/>
      </c>
      <c r="V46" s="148">
        <f t="shared" si="47"/>
        <v>-286722.14999999991</v>
      </c>
      <c r="W46" s="152" t="str">
        <f t="shared" si="48"/>
        <v/>
      </c>
      <c r="X46" s="153" t="str">
        <f t="shared" si="49"/>
        <v/>
      </c>
      <c r="Y46" s="132" t="e">
        <f t="shared" si="50"/>
        <v>#VALUE!</v>
      </c>
      <c r="Z46" s="155">
        <f t="shared" si="51"/>
        <v>-0.10458798674010451</v>
      </c>
      <c r="AA46" s="132">
        <f t="shared" si="52"/>
        <v>-998.74774503392291</v>
      </c>
      <c r="AB46" s="202">
        <f t="shared" si="53"/>
        <v>-271400</v>
      </c>
    </row>
    <row r="47" spans="1:28" ht="18" customHeight="1" x14ac:dyDescent="0.25">
      <c r="A47" s="138">
        <v>45</v>
      </c>
      <c r="B47" s="163" t="str">
        <f>Квар.реализация!B87</f>
        <v xml:space="preserve"> с. Бакалы</v>
      </c>
      <c r="C47" s="163" t="str">
        <f>Квар.реализация!C87</f>
        <v xml:space="preserve"> ул. Шакирьянова, д. 47</v>
      </c>
      <c r="D47" s="163">
        <f>Квар.реализация!J87</f>
        <v>44.6</v>
      </c>
      <c r="E47" s="166">
        <f>Квар.реализация!M87</f>
        <v>2016</v>
      </c>
      <c r="F47" s="166"/>
      <c r="G47" s="160">
        <v>1293400</v>
      </c>
      <c r="H47" s="161"/>
      <c r="I47" s="172">
        <f t="shared" si="36"/>
        <v>1293400</v>
      </c>
      <c r="J47" s="176">
        <f t="shared" si="37"/>
        <v>0</v>
      </c>
      <c r="K47" s="163">
        <f>Квар.реализация!O87</f>
        <v>1276842.1499999999</v>
      </c>
      <c r="L47" s="160">
        <f t="shared" si="38"/>
        <v>16557.850000000093</v>
      </c>
      <c r="M47" s="163">
        <f>Квар.реализация!AD87</f>
        <v>990120</v>
      </c>
      <c r="N47" s="160">
        <f t="shared" si="39"/>
        <v>22200</v>
      </c>
      <c r="O47" s="164">
        <f t="shared" si="40"/>
        <v>0.23448275862068965</v>
      </c>
      <c r="P47" s="164">
        <f t="shared" si="41"/>
        <v>0.22455567432513091</v>
      </c>
      <c r="Q47" s="143">
        <f t="shared" si="42"/>
        <v>1022000</v>
      </c>
      <c r="R47" s="160">
        <f t="shared" si="43"/>
        <v>9549.3543394783665</v>
      </c>
      <c r="S47" s="160">
        <f t="shared" si="44"/>
        <v>25868</v>
      </c>
      <c r="T47" s="171">
        <f t="shared" si="45"/>
        <v>8550.6065944444435</v>
      </c>
      <c r="U47" s="162" t="str">
        <f t="shared" si="46"/>
        <v/>
      </c>
      <c r="V47" s="148">
        <f t="shared" si="47"/>
        <v>-286722.14999999991</v>
      </c>
      <c r="W47" s="152" t="str">
        <f t="shared" si="48"/>
        <v/>
      </c>
      <c r="X47" s="153" t="str">
        <f t="shared" si="49"/>
        <v/>
      </c>
      <c r="Y47" s="132" t="e">
        <f t="shared" si="50"/>
        <v>#VALUE!</v>
      </c>
      <c r="Z47" s="155">
        <f t="shared" si="51"/>
        <v>-0.10458798674010451</v>
      </c>
      <c r="AA47" s="132">
        <f t="shared" si="52"/>
        <v>-998.74774503392291</v>
      </c>
      <c r="AB47" s="202">
        <f t="shared" si="53"/>
        <v>-271400</v>
      </c>
    </row>
    <row r="48" spans="1:28" ht="18" customHeight="1" x14ac:dyDescent="0.25">
      <c r="A48" s="138">
        <v>46</v>
      </c>
      <c r="B48" s="163" t="str">
        <f>Квар.реализация!B88</f>
        <v xml:space="preserve"> с. Бакалы</v>
      </c>
      <c r="C48" s="163" t="str">
        <f>Квар.реализация!C88</f>
        <v xml:space="preserve"> ул. Шакирьянова, д. 47</v>
      </c>
      <c r="D48" s="163">
        <f>Квар.реализация!J88</f>
        <v>44.6</v>
      </c>
      <c r="E48" s="166">
        <f>Квар.реализация!M88</f>
        <v>2016</v>
      </c>
      <c r="F48" s="166"/>
      <c r="G48" s="160">
        <v>1293400</v>
      </c>
      <c r="H48" s="161"/>
      <c r="I48" s="172">
        <f t="shared" si="36"/>
        <v>1293400</v>
      </c>
      <c r="J48" s="176">
        <f t="shared" si="37"/>
        <v>0</v>
      </c>
      <c r="K48" s="163">
        <f>Квар.реализация!O88</f>
        <v>1276842.1499999999</v>
      </c>
      <c r="L48" s="160">
        <f t="shared" si="38"/>
        <v>16557.850000000093</v>
      </c>
      <c r="M48" s="163">
        <f>Квар.реализация!AD88</f>
        <v>990120</v>
      </c>
      <c r="N48" s="160">
        <f t="shared" si="39"/>
        <v>22200</v>
      </c>
      <c r="O48" s="164">
        <f t="shared" si="40"/>
        <v>0.23448275862068965</v>
      </c>
      <c r="P48" s="164">
        <f t="shared" si="41"/>
        <v>0.22455567432513091</v>
      </c>
      <c r="Q48" s="143">
        <f t="shared" si="42"/>
        <v>1022000</v>
      </c>
      <c r="R48" s="160">
        <f t="shared" si="43"/>
        <v>9549.3543394783665</v>
      </c>
      <c r="S48" s="160">
        <f t="shared" si="44"/>
        <v>25868</v>
      </c>
      <c r="T48" s="171">
        <f t="shared" si="45"/>
        <v>8550.6065944444435</v>
      </c>
      <c r="U48" s="162" t="str">
        <f t="shared" si="46"/>
        <v/>
      </c>
      <c r="V48" s="148">
        <f t="shared" si="47"/>
        <v>-286722.14999999991</v>
      </c>
      <c r="W48" s="152" t="str">
        <f t="shared" si="48"/>
        <v/>
      </c>
      <c r="X48" s="153" t="str">
        <f t="shared" si="49"/>
        <v/>
      </c>
      <c r="Y48" s="132" t="e">
        <f t="shared" si="50"/>
        <v>#VALUE!</v>
      </c>
      <c r="Z48" s="155">
        <f t="shared" si="51"/>
        <v>-0.10458798674010451</v>
      </c>
      <c r="AA48" s="132">
        <f t="shared" si="52"/>
        <v>-998.74774503392291</v>
      </c>
      <c r="AB48" s="202">
        <f t="shared" si="53"/>
        <v>-271400</v>
      </c>
    </row>
    <row r="49" spans="1:28" ht="18" customHeight="1" x14ac:dyDescent="0.25">
      <c r="A49" s="138">
        <v>47</v>
      </c>
      <c r="B49" s="163" t="str">
        <f>Квар.реализация!B89</f>
        <v xml:space="preserve"> с. Бакалы</v>
      </c>
      <c r="C49" s="163" t="str">
        <f>Квар.реализация!C89</f>
        <v xml:space="preserve"> ул. Шакирьянова, д. 47</v>
      </c>
      <c r="D49" s="163">
        <f>Квар.реализация!J89</f>
        <v>44.6</v>
      </c>
      <c r="E49" s="166">
        <f>Квар.реализация!M89</f>
        <v>2016</v>
      </c>
      <c r="F49" s="166"/>
      <c r="G49" s="160">
        <v>1293400</v>
      </c>
      <c r="H49" s="161"/>
      <c r="I49" s="172">
        <f t="shared" si="36"/>
        <v>1293400</v>
      </c>
      <c r="J49" s="176">
        <f t="shared" si="37"/>
        <v>-4640.8600000001024</v>
      </c>
      <c r="K49" s="163">
        <f>Квар.реализация!O89</f>
        <v>1298040.8600000001</v>
      </c>
      <c r="L49" s="160">
        <f t="shared" si="38"/>
        <v>-4640.8600000001024</v>
      </c>
      <c r="M49" s="163">
        <f>Квар.реализация!AD89</f>
        <v>990120</v>
      </c>
      <c r="N49" s="160">
        <f t="shared" si="39"/>
        <v>22200</v>
      </c>
      <c r="O49" s="164">
        <f t="shared" si="40"/>
        <v>0.23448275862068965</v>
      </c>
      <c r="P49" s="164">
        <f t="shared" si="41"/>
        <v>0.2372196973830239</v>
      </c>
      <c r="Q49" s="143">
        <f t="shared" si="42"/>
        <v>1039000</v>
      </c>
      <c r="R49" s="160">
        <f t="shared" si="43"/>
        <v>9708.1987854383788</v>
      </c>
      <c r="S49" s="160">
        <f t="shared" si="44"/>
        <v>25868</v>
      </c>
      <c r="T49" s="171">
        <f t="shared" si="45"/>
        <v>8571.8053044444441</v>
      </c>
      <c r="U49" s="162" t="str">
        <f t="shared" si="46"/>
        <v/>
      </c>
      <c r="V49" s="148">
        <f t="shared" si="47"/>
        <v>-307920.8600000001</v>
      </c>
      <c r="W49" s="152" t="str">
        <f t="shared" si="48"/>
        <v/>
      </c>
      <c r="X49" s="153" t="str">
        <f t="shared" si="49"/>
        <v/>
      </c>
      <c r="Y49" s="132" t="e">
        <f t="shared" si="50"/>
        <v>#VALUE!</v>
      </c>
      <c r="Z49" s="155">
        <f t="shared" si="51"/>
        <v>-0.11705502803449448</v>
      </c>
      <c r="AA49" s="132">
        <f t="shared" si="52"/>
        <v>-1136.3934809939346</v>
      </c>
      <c r="AB49" s="202">
        <f t="shared" si="53"/>
        <v>-254400</v>
      </c>
    </row>
    <row r="50" spans="1:28" ht="18" customHeight="1" x14ac:dyDescent="0.25">
      <c r="A50" s="138">
        <v>48</v>
      </c>
      <c r="B50" s="163" t="str">
        <f>Квар.реализация!B90</f>
        <v xml:space="preserve"> с. Бакалы</v>
      </c>
      <c r="C50" s="163" t="str">
        <f>Квар.реализация!C90</f>
        <v>ул. Школьная, д. 2Б</v>
      </c>
      <c r="D50" s="163">
        <f>Квар.реализация!J90</f>
        <v>49</v>
      </c>
      <c r="E50" s="166">
        <f>Квар.реализация!M90</f>
        <v>2016</v>
      </c>
      <c r="F50" s="166"/>
      <c r="G50" s="160">
        <v>1421000</v>
      </c>
      <c r="H50" s="161"/>
      <c r="I50" s="172">
        <f t="shared" si="36"/>
        <v>1421000</v>
      </c>
      <c r="J50" s="176">
        <f t="shared" si="37"/>
        <v>0</v>
      </c>
      <c r="K50" s="163">
        <f>Квар.реализация!O90</f>
        <v>1329043.07</v>
      </c>
      <c r="L50" s="160">
        <f t="shared" si="38"/>
        <v>91956.929999999935</v>
      </c>
      <c r="M50" s="163">
        <f>Квар.реализация!AD90</f>
        <v>1087800</v>
      </c>
      <c r="N50" s="160">
        <f t="shared" si="39"/>
        <v>22200</v>
      </c>
      <c r="O50" s="164">
        <f t="shared" si="40"/>
        <v>0.23448275862068965</v>
      </c>
      <c r="P50" s="164">
        <f t="shared" si="41"/>
        <v>0.18151636726114531</v>
      </c>
      <c r="Q50" s="143">
        <f t="shared" si="42"/>
        <v>1087800</v>
      </c>
      <c r="R50" s="160">
        <f t="shared" si="43"/>
        <v>10164.175783253</v>
      </c>
      <c r="S50" s="160">
        <f t="shared" si="44"/>
        <v>28420</v>
      </c>
      <c r="T50" s="171">
        <f t="shared" si="45"/>
        <v>9320.3986255555556</v>
      </c>
      <c r="U50" s="162" t="str">
        <f t="shared" si="46"/>
        <v/>
      </c>
      <c r="V50" s="148">
        <f t="shared" si="47"/>
        <v>-241243.07000000007</v>
      </c>
      <c r="W50" s="152" t="str">
        <f t="shared" si="48"/>
        <v/>
      </c>
      <c r="X50" s="153" t="str">
        <f t="shared" si="49"/>
        <v/>
      </c>
      <c r="Y50" s="132" t="e">
        <f t="shared" si="50"/>
        <v>#VALUE!</v>
      </c>
      <c r="Z50" s="155">
        <f t="shared" si="51"/>
        <v>-8.3014813565866666E-2</v>
      </c>
      <c r="AA50" s="132">
        <f t="shared" si="52"/>
        <v>-843.77715769744464</v>
      </c>
      <c r="AB50" s="202">
        <f t="shared" si="53"/>
        <v>-333200</v>
      </c>
    </row>
    <row r="51" spans="1:28" ht="18" customHeight="1" x14ac:dyDescent="0.25">
      <c r="A51" s="138">
        <v>49</v>
      </c>
      <c r="B51" s="163" t="str">
        <f>Квар.реализация!B91</f>
        <v xml:space="preserve"> с. Бакалы</v>
      </c>
      <c r="C51" s="163" t="str">
        <f>Квар.реализация!C91</f>
        <v>ул. Школьная, д. 2Б</v>
      </c>
      <c r="D51" s="163">
        <f>Квар.реализация!J91</f>
        <v>48.4</v>
      </c>
      <c r="E51" s="166">
        <f>Квар.реализация!M91</f>
        <v>2016</v>
      </c>
      <c r="F51" s="166"/>
      <c r="G51" s="160">
        <v>1403600</v>
      </c>
      <c r="H51" s="161"/>
      <c r="I51" s="172">
        <f t="shared" si="36"/>
        <v>1403600</v>
      </c>
      <c r="J51" s="176">
        <f t="shared" si="37"/>
        <v>0</v>
      </c>
      <c r="K51" s="163">
        <f>Квар.реализация!O91</f>
        <v>1336043.07</v>
      </c>
      <c r="L51" s="160">
        <f t="shared" si="38"/>
        <v>67556.929999999935</v>
      </c>
      <c r="M51" s="163">
        <f>Квар.реализация!AD91</f>
        <v>1074480</v>
      </c>
      <c r="N51" s="160">
        <f t="shared" si="39"/>
        <v>22200</v>
      </c>
      <c r="O51" s="164">
        <f t="shared" si="40"/>
        <v>0.23448275862068965</v>
      </c>
      <c r="P51" s="164">
        <f t="shared" si="41"/>
        <v>0.19577442963721225</v>
      </c>
      <c r="Q51" s="143">
        <f t="shared" si="42"/>
        <v>1074480</v>
      </c>
      <c r="R51" s="160">
        <f t="shared" si="43"/>
        <v>10039.716487947862</v>
      </c>
      <c r="S51" s="160">
        <f t="shared" si="44"/>
        <v>28072</v>
      </c>
      <c r="T51" s="171">
        <f t="shared" si="45"/>
        <v>9229.5452922222212</v>
      </c>
      <c r="U51" s="162" t="str">
        <f t="shared" si="46"/>
        <v/>
      </c>
      <c r="V51" s="148">
        <f t="shared" si="47"/>
        <v>-261563.07000000007</v>
      </c>
      <c r="W51" s="152" t="str">
        <f t="shared" si="48"/>
        <v/>
      </c>
      <c r="X51" s="153" t="str">
        <f t="shared" si="49"/>
        <v/>
      </c>
      <c r="Y51" s="132" t="e">
        <f t="shared" si="50"/>
        <v>#VALUE!</v>
      </c>
      <c r="Z51" s="155">
        <f t="shared" si="51"/>
        <v>-8.0696620935283181E-2</v>
      </c>
      <c r="AA51" s="132">
        <f t="shared" si="52"/>
        <v>-810.17119572564116</v>
      </c>
      <c r="AB51" s="202">
        <f t="shared" si="53"/>
        <v>-329120</v>
      </c>
    </row>
    <row r="52" spans="1:28" ht="23.25" customHeight="1" x14ac:dyDescent="0.25">
      <c r="A52" s="138">
        <v>50</v>
      </c>
      <c r="B52" s="163" t="str">
        <f>Квар.реализация!B14</f>
        <v xml:space="preserve"> с. Буздяк</v>
      </c>
      <c r="C52" s="163" t="str">
        <f>Квар.реализация!C14</f>
        <v xml:space="preserve"> мкр. "Южный", ул. Уртакульская, д. 26</v>
      </c>
      <c r="D52" s="163">
        <f>Квар.реализация!J14</f>
        <v>59.2</v>
      </c>
      <c r="E52" s="166">
        <f>Квар.реализация!M14</f>
        <v>2014</v>
      </c>
      <c r="F52" s="166" t="s">
        <v>581</v>
      </c>
      <c r="G52" s="160">
        <v>1539200</v>
      </c>
      <c r="H52" s="161"/>
      <c r="I52" s="172">
        <f>G52-G52*H52</f>
        <v>1539200</v>
      </c>
      <c r="J52" s="205">
        <f>IF(I52-K52&lt;0,I52-K52,0)</f>
        <v>-103027.35000000009</v>
      </c>
      <c r="K52" s="163">
        <f>Квар.реализация!O14</f>
        <v>1642227.35</v>
      </c>
      <c r="L52" s="160">
        <f>I52-K52</f>
        <v>-103027.35000000009</v>
      </c>
      <c r="M52" s="163">
        <f>Квар.реализация!AD14</f>
        <v>1243200</v>
      </c>
      <c r="N52" s="160">
        <f>M52/D52</f>
        <v>21000</v>
      </c>
      <c r="O52" s="164">
        <f>(I52-M52)/I52</f>
        <v>0.19230769230769232</v>
      </c>
      <c r="P52" s="164">
        <f>(K52-M52)/K52</f>
        <v>0.24297935970923884</v>
      </c>
      <c r="Q52" s="143">
        <f>IF(P52&lt;20%,M52,ROUNDUP(K52*0.8/1000,0)*1000)</f>
        <v>1314000</v>
      </c>
      <c r="R52" s="160">
        <f>-PMT(9.4%/12,15*12,Q52*0.9)</f>
        <v>12277.741293615043</v>
      </c>
      <c r="S52" s="160">
        <f>2%*I52</f>
        <v>30784</v>
      </c>
      <c r="T52" s="171">
        <f>K52*(1/125/12*1.5+0/12)+5.2*D52+I52/15/12-S52/15/12</f>
        <v>10330.156238888889</v>
      </c>
      <c r="U52" s="162" t="str">
        <f>IF(R52&lt;T52,(T52-R52)*12*15/I52,"")</f>
        <v/>
      </c>
      <c r="V52" s="148">
        <f>M52-K52</f>
        <v>-399027.35000000009</v>
      </c>
      <c r="W52" s="152" t="str">
        <f>IF(LEN(U52)&gt;0,I52*(1-U52),"")</f>
        <v/>
      </c>
      <c r="X52" s="153" t="str">
        <f>IF(OR((1-Q52/I52)&gt;U52,U52=""),"","Более 20%")</f>
        <v/>
      </c>
      <c r="Y52" s="132" t="e">
        <f>W52-K52</f>
        <v>#VALUE!</v>
      </c>
      <c r="Z52" s="155">
        <f>(T52-R52)/R52</f>
        <v>-0.1586273084072054</v>
      </c>
      <c r="AA52" s="132">
        <f>T52-R52</f>
        <v>-1947.5850547261543</v>
      </c>
      <c r="AB52" s="202">
        <f>Q52-G52</f>
        <v>-225200</v>
      </c>
    </row>
    <row r="53" spans="1:28" ht="18" customHeight="1" x14ac:dyDescent="0.25">
      <c r="A53" s="138">
        <v>51</v>
      </c>
      <c r="B53" s="163" t="str">
        <f>Квар.реализация!B34</f>
        <v xml:space="preserve"> с. Буздяк</v>
      </c>
      <c r="C53" s="163" t="str">
        <f>Квар.реализация!C34</f>
        <v xml:space="preserve"> ул. Уртакульская, д. 28/1</v>
      </c>
      <c r="D53" s="163">
        <f>Квар.реализация!J34</f>
        <v>58.8</v>
      </c>
      <c r="E53" s="166">
        <f>Квар.реализация!M34</f>
        <v>2015</v>
      </c>
      <c r="F53" s="166" t="s">
        <v>581</v>
      </c>
      <c r="G53" s="160">
        <v>1617000</v>
      </c>
      <c r="H53" s="161"/>
      <c r="I53" s="172">
        <f t="shared" ref="I53:I100" si="54">G53-G53*H53</f>
        <v>1617000</v>
      </c>
      <c r="J53" s="205">
        <f t="shared" ref="J53:J100" si="55">IF(I53-K53&lt;0,I53-K53,0)</f>
        <v>-1872.1100000001024</v>
      </c>
      <c r="K53" s="163">
        <f>Квар.реализация!O34</f>
        <v>1618872.11</v>
      </c>
      <c r="L53" s="160">
        <f t="shared" ref="L53:L100" si="56">I53-K53</f>
        <v>-1872.1100000001024</v>
      </c>
      <c r="M53" s="163">
        <f>Квар.реализация!AD34</f>
        <v>1293600</v>
      </c>
      <c r="N53" s="160">
        <f t="shared" ref="N53:N100" si="57">M53/D53</f>
        <v>22000</v>
      </c>
      <c r="O53" s="164">
        <f t="shared" ref="O53:O100" si="58">(I53-M53)/I53</f>
        <v>0.2</v>
      </c>
      <c r="P53" s="164">
        <f t="shared" ref="P53:P100" si="59">(K53-M53)/K53</f>
        <v>0.20092514287617202</v>
      </c>
      <c r="Q53" s="143">
        <f t="shared" ref="Q53:Q100" si="60">IF(P53&lt;20%,M53,ROUNDUP(K53*0.8/1000,0)*1000)</f>
        <v>1296000</v>
      </c>
      <c r="R53" s="160">
        <f t="shared" ref="R53:R100" si="61">-PMT(9.4%/12,15*12,Q53*0.9)</f>
        <v>12109.553056716206</v>
      </c>
      <c r="S53" s="160">
        <f t="shared" ref="S53:S100" si="62">2%*I53</f>
        <v>32340</v>
      </c>
      <c r="T53" s="171">
        <f t="shared" ref="T53:T100" si="63">K53*(1/125/12*1.5+0/12)+5.2*D53+I53/15/12-S53/15/12</f>
        <v>10728.298776666668</v>
      </c>
      <c r="U53" s="162" t="str">
        <f t="shared" ref="U53:U100" si="64">IF(R53&lt;T53,(T53-R53)*12*15/I53,"")</f>
        <v/>
      </c>
      <c r="V53" s="148">
        <f t="shared" ref="V53:V100" si="65">M53-K53</f>
        <v>-325272.1100000001</v>
      </c>
      <c r="W53" s="152" t="str">
        <f t="shared" ref="W53:W100" si="66">IF(LEN(U53)&gt;0,I53*(1-U53),"")</f>
        <v/>
      </c>
      <c r="X53" s="153" t="str">
        <f t="shared" ref="X53:X100" si="67">IF(OR((1-Q53/I53)&gt;U53,U53=""),"","Более 20%")</f>
        <v/>
      </c>
      <c r="Y53" s="132" t="e">
        <f t="shared" ref="Y53:Y76" si="68">W53-K53</f>
        <v>#VALUE!</v>
      </c>
      <c r="Z53" s="155">
        <f t="shared" ref="Z53:Z100" si="69">(T53-R53)/R53</f>
        <v>-0.11406319238871213</v>
      </c>
      <c r="AA53" s="132">
        <f t="shared" ref="AA53:AA100" si="70">T53-R53</f>
        <v>-1381.2542800495376</v>
      </c>
      <c r="AB53" s="202">
        <f t="shared" ref="AB53:AB100" si="71">Q53-G53</f>
        <v>-321000</v>
      </c>
    </row>
    <row r="54" spans="1:28" ht="18" customHeight="1" x14ac:dyDescent="0.25">
      <c r="A54" s="138">
        <v>52</v>
      </c>
      <c r="B54" s="163" t="str">
        <f>Квар.реализация!B35</f>
        <v xml:space="preserve"> с. Буздяк</v>
      </c>
      <c r="C54" s="163" t="str">
        <f>Квар.реализация!C35</f>
        <v xml:space="preserve"> ул. Уртакульская, д. 28/1</v>
      </c>
      <c r="D54" s="163">
        <f>Квар.реализация!J35</f>
        <v>58.6</v>
      </c>
      <c r="E54" s="166">
        <f>Квар.реализация!M35</f>
        <v>2015</v>
      </c>
      <c r="F54" s="166" t="s">
        <v>581</v>
      </c>
      <c r="G54" s="160">
        <v>1611500</v>
      </c>
      <c r="H54" s="161"/>
      <c r="I54" s="172">
        <f t="shared" si="54"/>
        <v>1611500</v>
      </c>
      <c r="J54" s="205">
        <f t="shared" si="55"/>
        <v>-3653.6000000000931</v>
      </c>
      <c r="K54" s="163">
        <f>Квар.реализация!O35</f>
        <v>1615153.6</v>
      </c>
      <c r="L54" s="160">
        <f t="shared" si="56"/>
        <v>-3653.6000000000931</v>
      </c>
      <c r="M54" s="163">
        <f>Квар.реализация!AD35</f>
        <v>1289200</v>
      </c>
      <c r="N54" s="160">
        <f t="shared" si="57"/>
        <v>22000</v>
      </c>
      <c r="O54" s="164">
        <f t="shared" si="58"/>
        <v>0.2</v>
      </c>
      <c r="P54" s="164">
        <f t="shared" si="59"/>
        <v>0.20180966070347742</v>
      </c>
      <c r="Q54" s="143">
        <f t="shared" si="60"/>
        <v>1293000</v>
      </c>
      <c r="R54" s="160">
        <f t="shared" si="61"/>
        <v>12081.521683899733</v>
      </c>
      <c r="S54" s="160">
        <f t="shared" si="62"/>
        <v>32230</v>
      </c>
      <c r="T54" s="171">
        <f t="shared" si="63"/>
        <v>10693.595822222223</v>
      </c>
      <c r="U54" s="162" t="str">
        <f t="shared" si="64"/>
        <v/>
      </c>
      <c r="V54" s="148">
        <f t="shared" si="65"/>
        <v>-325953.60000000009</v>
      </c>
      <c r="W54" s="152" t="str">
        <f t="shared" si="66"/>
        <v/>
      </c>
      <c r="X54" s="153" t="str">
        <f t="shared" si="67"/>
        <v/>
      </c>
      <c r="Y54" s="132" t="e">
        <f t="shared" si="68"/>
        <v>#VALUE!</v>
      </c>
      <c r="Z54" s="155">
        <f t="shared" si="69"/>
        <v>-0.11488005385340731</v>
      </c>
      <c r="AA54" s="132">
        <f t="shared" si="70"/>
        <v>-1387.9258616775096</v>
      </c>
      <c r="AB54" s="202">
        <f t="shared" si="71"/>
        <v>-318500</v>
      </c>
    </row>
    <row r="55" spans="1:28" ht="18" customHeight="1" x14ac:dyDescent="0.25">
      <c r="A55" s="138">
        <v>53</v>
      </c>
      <c r="B55" s="163" t="str">
        <f>Квар.реализация!B36</f>
        <v xml:space="preserve"> с. Буздяк</v>
      </c>
      <c r="C55" s="163" t="str">
        <f>Квар.реализация!C36</f>
        <v xml:space="preserve"> ул. Уртакульская, д. 28/1</v>
      </c>
      <c r="D55" s="163">
        <f>Квар.реализация!J36</f>
        <v>58.9</v>
      </c>
      <c r="E55" s="166">
        <f>Квар.реализация!M36</f>
        <v>2015</v>
      </c>
      <c r="F55" s="166" t="s">
        <v>581</v>
      </c>
      <c r="G55" s="160">
        <v>1619750</v>
      </c>
      <c r="H55" s="161"/>
      <c r="I55" s="172">
        <f t="shared" si="54"/>
        <v>1619750</v>
      </c>
      <c r="J55" s="205">
        <f t="shared" si="55"/>
        <v>0</v>
      </c>
      <c r="K55" s="163">
        <f>Квар.реализация!O36</f>
        <v>1615153.59</v>
      </c>
      <c r="L55" s="160">
        <f t="shared" si="56"/>
        <v>4596.4099999999162</v>
      </c>
      <c r="M55" s="163">
        <f>Квар.реализация!AD36</f>
        <v>1295800</v>
      </c>
      <c r="N55" s="160">
        <f t="shared" si="57"/>
        <v>22000</v>
      </c>
      <c r="O55" s="164">
        <f t="shared" si="58"/>
        <v>0.2</v>
      </c>
      <c r="P55" s="164">
        <f t="shared" si="59"/>
        <v>0.19772335707095204</v>
      </c>
      <c r="Q55" s="143">
        <f t="shared" si="60"/>
        <v>1295800</v>
      </c>
      <c r="R55" s="160">
        <f t="shared" si="61"/>
        <v>12107.684298528442</v>
      </c>
      <c r="S55" s="160">
        <f t="shared" si="62"/>
        <v>32395</v>
      </c>
      <c r="T55" s="171">
        <f t="shared" si="63"/>
        <v>10740.072478888889</v>
      </c>
      <c r="U55" s="162" t="str">
        <f t="shared" si="64"/>
        <v/>
      </c>
      <c r="V55" s="148">
        <f t="shared" si="65"/>
        <v>-319353.59000000008</v>
      </c>
      <c r="W55" s="152" t="str">
        <f t="shared" si="66"/>
        <v/>
      </c>
      <c r="X55" s="153" t="str">
        <f t="shared" si="67"/>
        <v/>
      </c>
      <c r="Y55" s="132" t="e">
        <f t="shared" si="68"/>
        <v>#VALUE!</v>
      </c>
      <c r="Z55" s="155">
        <f t="shared" si="69"/>
        <v>-0.11295403695038292</v>
      </c>
      <c r="AA55" s="132">
        <f t="shared" si="70"/>
        <v>-1367.6118196395528</v>
      </c>
      <c r="AB55" s="202">
        <f t="shared" si="71"/>
        <v>-323950</v>
      </c>
    </row>
    <row r="56" spans="1:28" ht="18" customHeight="1" x14ac:dyDescent="0.25">
      <c r="A56" s="138">
        <v>54</v>
      </c>
      <c r="B56" s="163" t="str">
        <f>Квар.реализация!B53</f>
        <v xml:space="preserve"> с. Ермекеево</v>
      </c>
      <c r="C56" s="163" t="str">
        <f>Квар.реализация!C53</f>
        <v xml:space="preserve"> ул. Школьная, д. 19 (литер 1)</v>
      </c>
      <c r="D56" s="163">
        <f>Квар.реализация!J53</f>
        <v>48.3</v>
      </c>
      <c r="E56" s="166">
        <f>Квар.реализация!M53</f>
        <v>2015</v>
      </c>
      <c r="F56" s="166" t="s">
        <v>580</v>
      </c>
      <c r="G56" s="160">
        <v>1328250</v>
      </c>
      <c r="H56" s="161"/>
      <c r="I56" s="172">
        <f t="shared" si="54"/>
        <v>1328250</v>
      </c>
      <c r="J56" s="205">
        <f t="shared" si="55"/>
        <v>0</v>
      </c>
      <c r="K56" s="163">
        <f>Квар.реализация!O53</f>
        <v>1275147.1599999999</v>
      </c>
      <c r="L56" s="160">
        <f t="shared" si="56"/>
        <v>53102.840000000084</v>
      </c>
      <c r="M56" s="163">
        <f>20000*D56</f>
        <v>966000</v>
      </c>
      <c r="N56" s="160">
        <f t="shared" si="57"/>
        <v>20000</v>
      </c>
      <c r="O56" s="164">
        <f t="shared" si="58"/>
        <v>0.27272727272727271</v>
      </c>
      <c r="P56" s="164">
        <f t="shared" si="59"/>
        <v>0.24244037841091215</v>
      </c>
      <c r="Q56" s="143">
        <f t="shared" si="60"/>
        <v>1021000</v>
      </c>
      <c r="R56" s="160">
        <f t="shared" si="61"/>
        <v>9540.0105485395416</v>
      </c>
      <c r="S56" s="160">
        <f t="shared" si="62"/>
        <v>26565</v>
      </c>
      <c r="T56" s="171">
        <f t="shared" si="63"/>
        <v>8757.8904933333324</v>
      </c>
      <c r="U56" s="162" t="str">
        <f t="shared" si="64"/>
        <v/>
      </c>
      <c r="V56" s="148">
        <f t="shared" si="65"/>
        <v>-309147.15999999992</v>
      </c>
      <c r="W56" s="152" t="str">
        <f t="shared" si="66"/>
        <v/>
      </c>
      <c r="X56" s="153" t="str">
        <f t="shared" si="67"/>
        <v/>
      </c>
      <c r="Y56" s="132" t="e">
        <f t="shared" si="68"/>
        <v>#VALUE!</v>
      </c>
      <c r="Z56" s="155">
        <f t="shared" si="69"/>
        <v>-8.1983143648194617E-2</v>
      </c>
      <c r="AA56" s="132">
        <f t="shared" si="70"/>
        <v>-782.12005520620914</v>
      </c>
      <c r="AB56" s="202">
        <f t="shared" si="71"/>
        <v>-307250</v>
      </c>
    </row>
    <row r="57" spans="1:28" ht="18" customHeight="1" x14ac:dyDescent="0.25">
      <c r="A57" s="138">
        <v>55</v>
      </c>
      <c r="B57" s="163" t="str">
        <f>Квар.реализация!B54</f>
        <v xml:space="preserve"> с. Ермекеево</v>
      </c>
      <c r="C57" s="163" t="str">
        <f>Квар.реализация!C54</f>
        <v xml:space="preserve"> ул. Школьная, д. 19 (литер 1)</v>
      </c>
      <c r="D57" s="163">
        <f>Квар.реализация!J54</f>
        <v>48.1</v>
      </c>
      <c r="E57" s="166">
        <f>Квар.реализация!M54</f>
        <v>2015</v>
      </c>
      <c r="F57" s="166" t="s">
        <v>580</v>
      </c>
      <c r="G57" s="160">
        <v>1322750</v>
      </c>
      <c r="H57" s="161"/>
      <c r="I57" s="172">
        <f t="shared" si="54"/>
        <v>1322750</v>
      </c>
      <c r="J57" s="205">
        <f t="shared" si="55"/>
        <v>0</v>
      </c>
      <c r="K57" s="163">
        <f>Квар.реализация!O54</f>
        <v>1273320.03</v>
      </c>
      <c r="L57" s="160">
        <f t="shared" si="56"/>
        <v>49429.969999999972</v>
      </c>
      <c r="M57" s="163">
        <f>Квар.реализация!AD54</f>
        <v>962000</v>
      </c>
      <c r="N57" s="160">
        <f t="shared" si="57"/>
        <v>20000</v>
      </c>
      <c r="O57" s="164">
        <f t="shared" si="58"/>
        <v>0.27272727272727271</v>
      </c>
      <c r="P57" s="164">
        <f t="shared" si="59"/>
        <v>0.24449472455090496</v>
      </c>
      <c r="Q57" s="143">
        <f t="shared" si="60"/>
        <v>1019000</v>
      </c>
      <c r="R57" s="160">
        <f t="shared" si="61"/>
        <v>9521.3229666618936</v>
      </c>
      <c r="S57" s="160">
        <f t="shared" si="62"/>
        <v>26455</v>
      </c>
      <c r="T57" s="171">
        <f t="shared" si="63"/>
        <v>8725.0789188888884</v>
      </c>
      <c r="U57" s="162" t="str">
        <f t="shared" si="64"/>
        <v/>
      </c>
      <c r="V57" s="148">
        <f t="shared" si="65"/>
        <v>-311320.03000000003</v>
      </c>
      <c r="W57" s="152" t="str">
        <f t="shared" si="66"/>
        <v/>
      </c>
      <c r="X57" s="153" t="str">
        <f t="shared" si="67"/>
        <v/>
      </c>
      <c r="Y57" s="132" t="e">
        <f t="shared" si="68"/>
        <v>#VALUE!</v>
      </c>
      <c r="Z57" s="155">
        <f t="shared" si="69"/>
        <v>-8.3627459184084638E-2</v>
      </c>
      <c r="AA57" s="132">
        <f t="shared" si="70"/>
        <v>-796.24404777300515</v>
      </c>
      <c r="AB57" s="202">
        <f t="shared" si="71"/>
        <v>-303750</v>
      </c>
    </row>
    <row r="58" spans="1:28" ht="18" customHeight="1" x14ac:dyDescent="0.25">
      <c r="A58" s="138">
        <v>56</v>
      </c>
      <c r="B58" s="163" t="str">
        <f>Квар.реализация!B55</f>
        <v xml:space="preserve"> с. Ермекеево</v>
      </c>
      <c r="C58" s="163" t="str">
        <f>Квар.реализация!C55</f>
        <v xml:space="preserve"> ул. Школьная, д. 19 (литер 1)</v>
      </c>
      <c r="D58" s="163">
        <f>Квар.реализация!J55</f>
        <v>47.7</v>
      </c>
      <c r="E58" s="166">
        <f>Квар.реализация!M55</f>
        <v>2015</v>
      </c>
      <c r="F58" s="166" t="s">
        <v>580</v>
      </c>
      <c r="G58" s="160">
        <v>1311750</v>
      </c>
      <c r="H58" s="161"/>
      <c r="I58" s="172">
        <f t="shared" si="54"/>
        <v>1311750</v>
      </c>
      <c r="J58" s="205">
        <f t="shared" si="55"/>
        <v>0</v>
      </c>
      <c r="K58" s="163">
        <f>Квар.реализация!O55</f>
        <v>1275147.1599999999</v>
      </c>
      <c r="L58" s="160">
        <f t="shared" si="56"/>
        <v>36602.840000000084</v>
      </c>
      <c r="M58" s="163">
        <f>Квар.реализация!AD55</f>
        <v>954000</v>
      </c>
      <c r="N58" s="160">
        <f t="shared" si="57"/>
        <v>20000</v>
      </c>
      <c r="O58" s="164">
        <f t="shared" si="58"/>
        <v>0.27272727272727271</v>
      </c>
      <c r="P58" s="164">
        <f t="shared" si="59"/>
        <v>0.25185105693996912</v>
      </c>
      <c r="Q58" s="143">
        <f t="shared" si="60"/>
        <v>1021000</v>
      </c>
      <c r="R58" s="160">
        <f t="shared" si="61"/>
        <v>9540.0105485395416</v>
      </c>
      <c r="S58" s="160">
        <f t="shared" si="62"/>
        <v>26235</v>
      </c>
      <c r="T58" s="171">
        <f t="shared" si="63"/>
        <v>8664.9371599999995</v>
      </c>
      <c r="U58" s="162" t="str">
        <f t="shared" si="64"/>
        <v/>
      </c>
      <c r="V58" s="148">
        <f t="shared" si="65"/>
        <v>-321147.15999999992</v>
      </c>
      <c r="W58" s="152" t="str">
        <f t="shared" si="66"/>
        <v/>
      </c>
      <c r="X58" s="153" t="str">
        <f t="shared" si="67"/>
        <v/>
      </c>
      <c r="Y58" s="132" t="e">
        <f t="shared" si="68"/>
        <v>#VALUE!</v>
      </c>
      <c r="Z58" s="155">
        <f t="shared" si="69"/>
        <v>-9.1726668863432767E-2</v>
      </c>
      <c r="AA58" s="132">
        <f t="shared" si="70"/>
        <v>-875.07338853954207</v>
      </c>
      <c r="AB58" s="202">
        <f t="shared" si="71"/>
        <v>-290750</v>
      </c>
    </row>
    <row r="59" spans="1:28" ht="18" customHeight="1" x14ac:dyDescent="0.25">
      <c r="A59" s="138">
        <v>57</v>
      </c>
      <c r="B59" s="163" t="str">
        <f>Квар.реализация!B56</f>
        <v xml:space="preserve"> с. Ермекеево</v>
      </c>
      <c r="C59" s="163" t="str">
        <f>Квар.реализация!C56</f>
        <v xml:space="preserve"> ул. Школьная, д. 19 (литер 1)</v>
      </c>
      <c r="D59" s="163">
        <f>Квар.реализация!J56</f>
        <v>47.8</v>
      </c>
      <c r="E59" s="166">
        <f>Квар.реализация!M56</f>
        <v>2015</v>
      </c>
      <c r="F59" s="166" t="s">
        <v>580</v>
      </c>
      <c r="G59" s="160">
        <v>1314500</v>
      </c>
      <c r="H59" s="161"/>
      <c r="I59" s="172">
        <f t="shared" si="54"/>
        <v>1314500</v>
      </c>
      <c r="J59" s="205">
        <f t="shared" si="55"/>
        <v>0</v>
      </c>
      <c r="K59" s="163">
        <f>Квар.реализация!O56</f>
        <v>1275147.1599999999</v>
      </c>
      <c r="L59" s="160">
        <f t="shared" si="56"/>
        <v>39352.840000000084</v>
      </c>
      <c r="M59" s="163">
        <f>Квар.реализация!AD56</f>
        <v>956000</v>
      </c>
      <c r="N59" s="160">
        <f t="shared" si="57"/>
        <v>20000</v>
      </c>
      <c r="O59" s="164">
        <f t="shared" si="58"/>
        <v>0.27272727272727271</v>
      </c>
      <c r="P59" s="164">
        <f t="shared" si="59"/>
        <v>0.25028261051845963</v>
      </c>
      <c r="Q59" s="143">
        <f t="shared" si="60"/>
        <v>1021000</v>
      </c>
      <c r="R59" s="160">
        <f t="shared" si="61"/>
        <v>9540.0105485395416</v>
      </c>
      <c r="S59" s="160">
        <f t="shared" si="62"/>
        <v>26290</v>
      </c>
      <c r="T59" s="171">
        <f t="shared" si="63"/>
        <v>8680.4293822222226</v>
      </c>
      <c r="U59" s="162" t="str">
        <f t="shared" si="64"/>
        <v/>
      </c>
      <c r="V59" s="148">
        <f t="shared" si="65"/>
        <v>-319147.15999999992</v>
      </c>
      <c r="W59" s="152" t="str">
        <f t="shared" si="66"/>
        <v/>
      </c>
      <c r="X59" s="153" t="str">
        <f t="shared" si="67"/>
        <v/>
      </c>
      <c r="Y59" s="132" t="e">
        <f t="shared" si="68"/>
        <v>#VALUE!</v>
      </c>
      <c r="Z59" s="155">
        <f t="shared" si="69"/>
        <v>-9.0102747994226309E-2</v>
      </c>
      <c r="AA59" s="132">
        <f t="shared" si="70"/>
        <v>-859.581166317319</v>
      </c>
      <c r="AB59" s="202">
        <f t="shared" si="71"/>
        <v>-293500</v>
      </c>
    </row>
    <row r="60" spans="1:28" ht="18" customHeight="1" x14ac:dyDescent="0.25">
      <c r="A60" s="138">
        <v>58</v>
      </c>
      <c r="B60" s="163" t="str">
        <f>Квар.реализация!B57</f>
        <v xml:space="preserve"> с. Ермекеево</v>
      </c>
      <c r="C60" s="163" t="str">
        <f>Квар.реализация!C57</f>
        <v xml:space="preserve"> ул. Школьная, д. 19 (литер 1)</v>
      </c>
      <c r="D60" s="163">
        <f>Квар.реализация!J57</f>
        <v>48.1</v>
      </c>
      <c r="E60" s="166">
        <f>Квар.реализация!M57</f>
        <v>2015</v>
      </c>
      <c r="F60" s="166" t="s">
        <v>580</v>
      </c>
      <c r="G60" s="160">
        <v>1322750</v>
      </c>
      <c r="H60" s="161"/>
      <c r="I60" s="172">
        <f t="shared" si="54"/>
        <v>1322750</v>
      </c>
      <c r="J60" s="205">
        <f t="shared" si="55"/>
        <v>0</v>
      </c>
      <c r="K60" s="163">
        <f>Квар.реализация!O57</f>
        <v>1273320.03</v>
      </c>
      <c r="L60" s="160">
        <f t="shared" si="56"/>
        <v>49429.969999999972</v>
      </c>
      <c r="M60" s="163">
        <f>Квар.реализация!AD57</f>
        <v>962000</v>
      </c>
      <c r="N60" s="160">
        <f t="shared" si="57"/>
        <v>20000</v>
      </c>
      <c r="O60" s="164">
        <f t="shared" si="58"/>
        <v>0.27272727272727271</v>
      </c>
      <c r="P60" s="164">
        <f t="shared" si="59"/>
        <v>0.24449472455090496</v>
      </c>
      <c r="Q60" s="143">
        <f t="shared" si="60"/>
        <v>1019000</v>
      </c>
      <c r="R60" s="160">
        <f t="shared" si="61"/>
        <v>9521.3229666618936</v>
      </c>
      <c r="S60" s="160">
        <f t="shared" si="62"/>
        <v>26455</v>
      </c>
      <c r="T60" s="171">
        <f t="shared" si="63"/>
        <v>8725.0789188888884</v>
      </c>
      <c r="U60" s="162" t="str">
        <f t="shared" si="64"/>
        <v/>
      </c>
      <c r="V60" s="148">
        <f t="shared" si="65"/>
        <v>-311320.03000000003</v>
      </c>
      <c r="W60" s="152" t="str">
        <f t="shared" si="66"/>
        <v/>
      </c>
      <c r="X60" s="153" t="str">
        <f t="shared" si="67"/>
        <v/>
      </c>
      <c r="Y60" s="132" t="e">
        <f t="shared" si="68"/>
        <v>#VALUE!</v>
      </c>
      <c r="Z60" s="155">
        <f t="shared" si="69"/>
        <v>-8.3627459184084638E-2</v>
      </c>
      <c r="AA60" s="132">
        <f t="shared" si="70"/>
        <v>-796.24404777300515</v>
      </c>
      <c r="AB60" s="202">
        <f t="shared" si="71"/>
        <v>-303750</v>
      </c>
    </row>
    <row r="61" spans="1:28" ht="18" customHeight="1" x14ac:dyDescent="0.25">
      <c r="A61" s="138">
        <v>59</v>
      </c>
      <c r="B61" s="163" t="str">
        <f>Квар.реализация!B58</f>
        <v xml:space="preserve"> с. Ермекеево</v>
      </c>
      <c r="C61" s="163" t="str">
        <f>Квар.реализация!C58</f>
        <v xml:space="preserve"> ул. Школьная, д. 19 (литер 1)</v>
      </c>
      <c r="D61" s="163">
        <f>Квар.реализация!J58</f>
        <v>47.9</v>
      </c>
      <c r="E61" s="166">
        <f>Квар.реализация!M58</f>
        <v>2015</v>
      </c>
      <c r="F61" s="166" t="s">
        <v>580</v>
      </c>
      <c r="G61" s="160">
        <v>1317250</v>
      </c>
      <c r="H61" s="161"/>
      <c r="I61" s="172">
        <f t="shared" si="54"/>
        <v>1317250</v>
      </c>
      <c r="J61" s="205">
        <f t="shared" si="55"/>
        <v>0</v>
      </c>
      <c r="K61" s="163">
        <f>Квар.реализация!O58</f>
        <v>1264445.42</v>
      </c>
      <c r="L61" s="160">
        <f t="shared" si="56"/>
        <v>52804.580000000075</v>
      </c>
      <c r="M61" s="163">
        <f>Квар.реализация!AD58</f>
        <v>958000</v>
      </c>
      <c r="N61" s="160">
        <f t="shared" si="57"/>
        <v>20000</v>
      </c>
      <c r="O61" s="164">
        <f t="shared" si="58"/>
        <v>0.27272727272727271</v>
      </c>
      <c r="P61" s="164">
        <f t="shared" si="59"/>
        <v>0.24235559333197629</v>
      </c>
      <c r="Q61" s="143">
        <f t="shared" si="60"/>
        <v>1012000</v>
      </c>
      <c r="R61" s="160">
        <f t="shared" si="61"/>
        <v>9455.9164300901248</v>
      </c>
      <c r="S61" s="160">
        <f t="shared" si="62"/>
        <v>26345</v>
      </c>
      <c r="T61" s="171">
        <f t="shared" si="63"/>
        <v>8685.2198644444452</v>
      </c>
      <c r="U61" s="162" t="str">
        <f t="shared" si="64"/>
        <v/>
      </c>
      <c r="V61" s="148">
        <f t="shared" si="65"/>
        <v>-306445.41999999993</v>
      </c>
      <c r="W61" s="152" t="str">
        <f t="shared" si="66"/>
        <v/>
      </c>
      <c r="X61" s="153" t="str">
        <f t="shared" si="67"/>
        <v/>
      </c>
      <c r="Y61" s="132" t="e">
        <f t="shared" si="68"/>
        <v>#VALUE!</v>
      </c>
      <c r="Z61" s="155">
        <f t="shared" si="69"/>
        <v>-8.1504164228144937E-2</v>
      </c>
      <c r="AA61" s="132">
        <f t="shared" si="70"/>
        <v>-770.69656564567958</v>
      </c>
      <c r="AB61" s="202">
        <f t="shared" si="71"/>
        <v>-305250</v>
      </c>
    </row>
    <row r="62" spans="1:28" ht="18" customHeight="1" x14ac:dyDescent="0.25">
      <c r="A62" s="138">
        <v>60</v>
      </c>
      <c r="B62" s="163" t="str">
        <f>Квар.реализация!B59</f>
        <v xml:space="preserve"> с. Ермекеево</v>
      </c>
      <c r="C62" s="163" t="str">
        <f>Квар.реализация!C59</f>
        <v xml:space="preserve"> ул. Школьная, д. 19 (литер 1)</v>
      </c>
      <c r="D62" s="163">
        <f>Квар.реализация!J59</f>
        <v>48.2</v>
      </c>
      <c r="E62" s="166">
        <f>Квар.реализация!M59</f>
        <v>2015</v>
      </c>
      <c r="F62" s="166" t="s">
        <v>580</v>
      </c>
      <c r="G62" s="160">
        <v>1325500</v>
      </c>
      <c r="H62" s="161"/>
      <c r="I62" s="172">
        <f t="shared" si="54"/>
        <v>1325500</v>
      </c>
      <c r="J62" s="205">
        <f t="shared" si="55"/>
        <v>0</v>
      </c>
      <c r="K62" s="163">
        <f>Квар.реализация!O59</f>
        <v>1269633.6100000001</v>
      </c>
      <c r="L62" s="160">
        <f t="shared" si="56"/>
        <v>55866.389999999898</v>
      </c>
      <c r="M62" s="163">
        <f>Квар.реализация!AD59</f>
        <v>964000</v>
      </c>
      <c r="N62" s="160">
        <f t="shared" si="57"/>
        <v>20000</v>
      </c>
      <c r="O62" s="164">
        <f t="shared" si="58"/>
        <v>0.27272727272727271</v>
      </c>
      <c r="P62" s="164">
        <f t="shared" si="59"/>
        <v>0.24072583428222263</v>
      </c>
      <c r="Q62" s="143">
        <f t="shared" si="60"/>
        <v>1016000</v>
      </c>
      <c r="R62" s="160">
        <f t="shared" si="61"/>
        <v>9493.2915938454225</v>
      </c>
      <c r="S62" s="160">
        <f t="shared" si="62"/>
        <v>26510</v>
      </c>
      <c r="T62" s="171">
        <f t="shared" si="63"/>
        <v>8736.8847211111133</v>
      </c>
      <c r="U62" s="162" t="str">
        <f t="shared" si="64"/>
        <v/>
      </c>
      <c r="V62" s="148">
        <f t="shared" si="65"/>
        <v>-305633.6100000001</v>
      </c>
      <c r="W62" s="152" t="str">
        <f t="shared" si="66"/>
        <v/>
      </c>
      <c r="X62" s="153" t="str">
        <f t="shared" si="67"/>
        <v/>
      </c>
      <c r="Y62" s="132" t="e">
        <f t="shared" si="68"/>
        <v>#VALUE!</v>
      </c>
      <c r="Z62" s="155">
        <f t="shared" si="69"/>
        <v>-7.9678040567582889E-2</v>
      </c>
      <c r="AA62" s="132">
        <f t="shared" si="70"/>
        <v>-756.40687273430922</v>
      </c>
      <c r="AB62" s="202">
        <f t="shared" si="71"/>
        <v>-309500</v>
      </c>
    </row>
    <row r="63" spans="1:28" ht="18" customHeight="1" x14ac:dyDescent="0.25">
      <c r="A63" s="138">
        <v>61</v>
      </c>
      <c r="B63" s="163" t="str">
        <f>Квар.реализация!B72</f>
        <v xml:space="preserve"> с. Красная Горка</v>
      </c>
      <c r="C63" s="163" t="str">
        <f>Квар.реализация!C72</f>
        <v>ул. Мира, д. 11</v>
      </c>
      <c r="D63" s="163">
        <f>Квар.реализация!J72</f>
        <v>51</v>
      </c>
      <c r="E63" s="166">
        <f>Квар.реализация!M72</f>
        <v>2016</v>
      </c>
      <c r="F63" s="166" t="s">
        <v>580</v>
      </c>
      <c r="G63" s="160">
        <v>1428000</v>
      </c>
      <c r="H63" s="161"/>
      <c r="I63" s="172">
        <f t="shared" si="54"/>
        <v>1428000</v>
      </c>
      <c r="J63" s="205">
        <f t="shared" si="55"/>
        <v>0</v>
      </c>
      <c r="K63" s="163">
        <f>Квар.реализация!O72</f>
        <v>1327246.73</v>
      </c>
      <c r="L63" s="160">
        <f t="shared" si="56"/>
        <v>100753.27000000002</v>
      </c>
      <c r="M63" s="163">
        <f>Квар.реализация!AD72</f>
        <v>1020000</v>
      </c>
      <c r="N63" s="160">
        <f t="shared" si="57"/>
        <v>20000</v>
      </c>
      <c r="O63" s="164">
        <f t="shared" si="58"/>
        <v>0.2857142857142857</v>
      </c>
      <c r="P63" s="164">
        <f t="shared" si="59"/>
        <v>0.23149179655541513</v>
      </c>
      <c r="Q63" s="143">
        <f t="shared" si="60"/>
        <v>1062000</v>
      </c>
      <c r="R63" s="160">
        <f t="shared" si="61"/>
        <v>9923.105977031335</v>
      </c>
      <c r="S63" s="160">
        <f t="shared" si="62"/>
        <v>28560</v>
      </c>
      <c r="T63" s="171">
        <f t="shared" si="63"/>
        <v>9367.1133966666675</v>
      </c>
      <c r="U63" s="162" t="str">
        <f t="shared" si="64"/>
        <v/>
      </c>
      <c r="V63" s="148">
        <f t="shared" si="65"/>
        <v>-307246.73</v>
      </c>
      <c r="W63" s="152" t="str">
        <f t="shared" si="66"/>
        <v/>
      </c>
      <c r="X63" s="153" t="str">
        <f t="shared" si="67"/>
        <v/>
      </c>
      <c r="Y63" s="132" t="e">
        <f t="shared" si="68"/>
        <v>#VALUE!</v>
      </c>
      <c r="Z63" s="155">
        <f t="shared" si="69"/>
        <v>-5.603009598522922E-2</v>
      </c>
      <c r="AA63" s="132">
        <f t="shared" si="70"/>
        <v>-555.99258036466745</v>
      </c>
      <c r="AB63" s="202">
        <f t="shared" si="71"/>
        <v>-366000</v>
      </c>
    </row>
    <row r="64" spans="1:28" ht="18" customHeight="1" x14ac:dyDescent="0.25">
      <c r="A64" s="138">
        <v>62</v>
      </c>
      <c r="B64" s="163" t="str">
        <f>Квар.реализация!B73</f>
        <v xml:space="preserve"> с. Красная Горка</v>
      </c>
      <c r="C64" s="163" t="str">
        <f>Квар.реализация!C73</f>
        <v>ул. Мира, д. 11</v>
      </c>
      <c r="D64" s="163">
        <f>Квар.реализация!J73</f>
        <v>49.3</v>
      </c>
      <c r="E64" s="166">
        <f>Квар.реализация!M73</f>
        <v>2016</v>
      </c>
      <c r="F64" s="166" t="s">
        <v>580</v>
      </c>
      <c r="G64" s="160">
        <v>1380400</v>
      </c>
      <c r="H64" s="161"/>
      <c r="I64" s="172">
        <f t="shared" si="54"/>
        <v>1380400</v>
      </c>
      <c r="J64" s="205">
        <f t="shared" si="55"/>
        <v>0</v>
      </c>
      <c r="K64" s="163">
        <f>Квар.реализация!O73</f>
        <v>1327246.73</v>
      </c>
      <c r="L64" s="160">
        <f t="shared" si="56"/>
        <v>53153.270000000019</v>
      </c>
      <c r="M64" s="163">
        <f>Квар.реализация!AD73</f>
        <v>986000</v>
      </c>
      <c r="N64" s="160">
        <f t="shared" si="57"/>
        <v>20000</v>
      </c>
      <c r="O64" s="164">
        <f t="shared" si="58"/>
        <v>0.2857142857142857</v>
      </c>
      <c r="P64" s="164">
        <f t="shared" si="59"/>
        <v>0.25710873667023459</v>
      </c>
      <c r="Q64" s="143">
        <f t="shared" si="60"/>
        <v>1062000</v>
      </c>
      <c r="R64" s="160">
        <f t="shared" si="61"/>
        <v>9923.105977031335</v>
      </c>
      <c r="S64" s="160">
        <f t="shared" si="62"/>
        <v>27608</v>
      </c>
      <c r="T64" s="171">
        <f t="shared" si="63"/>
        <v>9099.1178411111123</v>
      </c>
      <c r="U64" s="162" t="str">
        <f t="shared" si="64"/>
        <v/>
      </c>
      <c r="V64" s="148">
        <f t="shared" si="65"/>
        <v>-341246.73</v>
      </c>
      <c r="W64" s="152" t="str">
        <f t="shared" si="66"/>
        <v/>
      </c>
      <c r="X64" s="153" t="str">
        <f t="shared" si="67"/>
        <v/>
      </c>
      <c r="Y64" s="132" t="e">
        <f t="shared" si="68"/>
        <v>#VALUE!</v>
      </c>
      <c r="Z64" s="155">
        <f t="shared" si="69"/>
        <v>-8.3037320958526409E-2</v>
      </c>
      <c r="AA64" s="132">
        <f t="shared" si="70"/>
        <v>-823.9881359202227</v>
      </c>
      <c r="AB64" s="202">
        <f t="shared" si="71"/>
        <v>-318400</v>
      </c>
    </row>
    <row r="65" spans="1:28" ht="18" customHeight="1" x14ac:dyDescent="0.25">
      <c r="A65" s="138">
        <v>63</v>
      </c>
      <c r="B65" s="163" t="str">
        <f>Квар.реализация!B74</f>
        <v xml:space="preserve"> с. Красная Горка</v>
      </c>
      <c r="C65" s="163" t="str">
        <f>Квар.реализация!C74</f>
        <v>ул. Мира, д. 11</v>
      </c>
      <c r="D65" s="163">
        <f>Квар.реализация!J74</f>
        <v>49.2</v>
      </c>
      <c r="E65" s="166">
        <f>Квар.реализация!M74</f>
        <v>2016</v>
      </c>
      <c r="F65" s="166" t="s">
        <v>580</v>
      </c>
      <c r="G65" s="160">
        <v>1377600</v>
      </c>
      <c r="H65" s="161"/>
      <c r="I65" s="172">
        <f t="shared" si="54"/>
        <v>1377600</v>
      </c>
      <c r="J65" s="205">
        <f t="shared" si="55"/>
        <v>0</v>
      </c>
      <c r="K65" s="163">
        <f>Квар.реализация!O74</f>
        <v>1327246.73</v>
      </c>
      <c r="L65" s="160">
        <f t="shared" si="56"/>
        <v>50353.270000000019</v>
      </c>
      <c r="M65" s="163">
        <f>Квар.реализация!AD74</f>
        <v>984000</v>
      </c>
      <c r="N65" s="160">
        <f t="shared" si="57"/>
        <v>20000</v>
      </c>
      <c r="O65" s="164">
        <f t="shared" si="58"/>
        <v>0.2857142857142857</v>
      </c>
      <c r="P65" s="164">
        <f t="shared" si="59"/>
        <v>0.25861561550051809</v>
      </c>
      <c r="Q65" s="143">
        <f t="shared" si="60"/>
        <v>1062000</v>
      </c>
      <c r="R65" s="160">
        <f t="shared" si="61"/>
        <v>9923.105977031335</v>
      </c>
      <c r="S65" s="160">
        <f t="shared" si="62"/>
        <v>27552</v>
      </c>
      <c r="T65" s="171">
        <f t="shared" si="63"/>
        <v>9083.3533966666655</v>
      </c>
      <c r="U65" s="162" t="str">
        <f t="shared" si="64"/>
        <v/>
      </c>
      <c r="V65" s="148">
        <f t="shared" si="65"/>
        <v>-343246.73</v>
      </c>
      <c r="W65" s="152" t="str">
        <f t="shared" si="66"/>
        <v/>
      </c>
      <c r="X65" s="153" t="str">
        <f t="shared" si="67"/>
        <v/>
      </c>
      <c r="Y65" s="132" t="e">
        <f t="shared" si="68"/>
        <v>#VALUE!</v>
      </c>
      <c r="Z65" s="155">
        <f t="shared" si="69"/>
        <v>-8.462598125107354E-2</v>
      </c>
      <c r="AA65" s="132">
        <f t="shared" si="70"/>
        <v>-839.75258036466948</v>
      </c>
      <c r="AB65" s="202">
        <f t="shared" si="71"/>
        <v>-315600</v>
      </c>
    </row>
    <row r="66" spans="1:28" ht="18" customHeight="1" x14ac:dyDescent="0.25">
      <c r="A66" s="138">
        <v>64</v>
      </c>
      <c r="B66" s="163" t="str">
        <f>Квар.реализация!B75</f>
        <v xml:space="preserve"> с. Красная Горка</v>
      </c>
      <c r="C66" s="163" t="str">
        <f>Квар.реализация!C75</f>
        <v>ул. Мира, д. 11</v>
      </c>
      <c r="D66" s="163">
        <f>Квар.реализация!J75</f>
        <v>49.4</v>
      </c>
      <c r="E66" s="166">
        <f>Квар.реализация!M75</f>
        <v>2016</v>
      </c>
      <c r="F66" s="166" t="s">
        <v>580</v>
      </c>
      <c r="G66" s="160">
        <v>1383200</v>
      </c>
      <c r="H66" s="161"/>
      <c r="I66" s="172">
        <f t="shared" si="54"/>
        <v>1383200</v>
      </c>
      <c r="J66" s="205">
        <f t="shared" si="55"/>
        <v>0</v>
      </c>
      <c r="K66" s="163">
        <f>Квар.реализация!O75</f>
        <v>1327246.73</v>
      </c>
      <c r="L66" s="160">
        <f t="shared" si="56"/>
        <v>55953.270000000019</v>
      </c>
      <c r="M66" s="163">
        <f>Квар.реализация!AD75</f>
        <v>988000</v>
      </c>
      <c r="N66" s="160">
        <f t="shared" si="57"/>
        <v>20000</v>
      </c>
      <c r="O66" s="164">
        <f t="shared" si="58"/>
        <v>0.2857142857142857</v>
      </c>
      <c r="P66" s="164">
        <f t="shared" si="59"/>
        <v>0.2556018578399511</v>
      </c>
      <c r="Q66" s="143">
        <f t="shared" si="60"/>
        <v>1062000</v>
      </c>
      <c r="R66" s="160">
        <f t="shared" si="61"/>
        <v>9923.105977031335</v>
      </c>
      <c r="S66" s="160">
        <f t="shared" si="62"/>
        <v>27664</v>
      </c>
      <c r="T66" s="171">
        <f t="shared" si="63"/>
        <v>9114.8822855555554</v>
      </c>
      <c r="U66" s="162" t="str">
        <f t="shared" si="64"/>
        <v/>
      </c>
      <c r="V66" s="148">
        <f t="shared" si="65"/>
        <v>-339246.73</v>
      </c>
      <c r="W66" s="152" t="str">
        <f t="shared" si="66"/>
        <v/>
      </c>
      <c r="X66" s="153" t="str">
        <f t="shared" si="67"/>
        <v/>
      </c>
      <c r="Y66" s="132" t="e">
        <f t="shared" si="68"/>
        <v>#VALUE!</v>
      </c>
      <c r="Z66" s="155">
        <f t="shared" si="69"/>
        <v>-8.1448660665979639E-2</v>
      </c>
      <c r="AA66" s="132">
        <f t="shared" si="70"/>
        <v>-808.22369147577956</v>
      </c>
      <c r="AB66" s="202">
        <f t="shared" si="71"/>
        <v>-321200</v>
      </c>
    </row>
    <row r="67" spans="1:28" ht="18" customHeight="1" x14ac:dyDescent="0.25">
      <c r="A67" s="138">
        <v>65</v>
      </c>
      <c r="B67" s="163" t="str">
        <f>Квар.реализация!B76</f>
        <v xml:space="preserve"> с. Красная Горка</v>
      </c>
      <c r="C67" s="163" t="str">
        <f>Квар.реализация!C76</f>
        <v>ул. Мира, д. 11</v>
      </c>
      <c r="D67" s="163">
        <f>Квар.реализация!J76</f>
        <v>51.3</v>
      </c>
      <c r="E67" s="166">
        <f>Квар.реализация!M76</f>
        <v>2016</v>
      </c>
      <c r="F67" s="166" t="s">
        <v>580</v>
      </c>
      <c r="G67" s="160">
        <v>1436400</v>
      </c>
      <c r="H67" s="161"/>
      <c r="I67" s="172">
        <f t="shared" si="54"/>
        <v>1436400</v>
      </c>
      <c r="J67" s="205">
        <f t="shared" si="55"/>
        <v>0</v>
      </c>
      <c r="K67" s="163">
        <f>Квар.реализация!O76</f>
        <v>1327246.73</v>
      </c>
      <c r="L67" s="160">
        <f t="shared" si="56"/>
        <v>109153.27000000002</v>
      </c>
      <c r="M67" s="163">
        <f>Квар.реализация!AD76</f>
        <v>1026000</v>
      </c>
      <c r="N67" s="160">
        <f t="shared" si="57"/>
        <v>20000</v>
      </c>
      <c r="O67" s="164">
        <f t="shared" si="58"/>
        <v>0.2857142857142857</v>
      </c>
      <c r="P67" s="164">
        <f t="shared" si="59"/>
        <v>0.22697116006456464</v>
      </c>
      <c r="Q67" s="143">
        <f t="shared" si="60"/>
        <v>1062000</v>
      </c>
      <c r="R67" s="160">
        <f t="shared" si="61"/>
        <v>9923.105977031335</v>
      </c>
      <c r="S67" s="160">
        <f t="shared" si="62"/>
        <v>28728</v>
      </c>
      <c r="T67" s="171">
        <f t="shared" si="63"/>
        <v>9414.4067300000006</v>
      </c>
      <c r="U67" s="162" t="str">
        <f t="shared" si="64"/>
        <v/>
      </c>
      <c r="V67" s="148">
        <f t="shared" si="65"/>
        <v>-301246.73</v>
      </c>
      <c r="W67" s="152" t="str">
        <f t="shared" si="66"/>
        <v/>
      </c>
      <c r="X67" s="153" t="str">
        <f t="shared" si="67"/>
        <v/>
      </c>
      <c r="Y67" s="132" t="e">
        <f t="shared" si="68"/>
        <v>#VALUE!</v>
      </c>
      <c r="Z67" s="155">
        <f t="shared" si="69"/>
        <v>-5.1264115107588555E-2</v>
      </c>
      <c r="AA67" s="132">
        <f t="shared" si="70"/>
        <v>-508.69924703133438</v>
      </c>
      <c r="AB67" s="202">
        <f t="shared" si="71"/>
        <v>-374400</v>
      </c>
    </row>
    <row r="68" spans="1:28" ht="18" customHeight="1" x14ac:dyDescent="0.25">
      <c r="A68" s="138">
        <v>66</v>
      </c>
      <c r="B68" s="163" t="str">
        <f>Квар.реализация!B77</f>
        <v xml:space="preserve"> с. Красная Горка</v>
      </c>
      <c r="C68" s="163" t="str">
        <f>Квар.реализация!C77</f>
        <v>ул. Мира, д. 11</v>
      </c>
      <c r="D68" s="163">
        <f>Квар.реализация!J77</f>
        <v>49.7</v>
      </c>
      <c r="E68" s="166">
        <f>Квар.реализация!M77</f>
        <v>2016</v>
      </c>
      <c r="F68" s="166" t="s">
        <v>580</v>
      </c>
      <c r="G68" s="160">
        <v>1391600</v>
      </c>
      <c r="H68" s="161"/>
      <c r="I68" s="172">
        <f t="shared" si="54"/>
        <v>1391600</v>
      </c>
      <c r="J68" s="205">
        <f t="shared" si="55"/>
        <v>0</v>
      </c>
      <c r="K68" s="163">
        <f>Квар.реализация!O77</f>
        <v>1320813.01</v>
      </c>
      <c r="L68" s="160">
        <f t="shared" si="56"/>
        <v>70786.989999999991</v>
      </c>
      <c r="M68" s="163">
        <f>Квар.реализация!AD77</f>
        <v>994000</v>
      </c>
      <c r="N68" s="160">
        <f t="shared" si="57"/>
        <v>20000</v>
      </c>
      <c r="O68" s="164">
        <f t="shared" si="58"/>
        <v>0.2857142857142857</v>
      </c>
      <c r="P68" s="164">
        <f t="shared" si="59"/>
        <v>0.24743321539511487</v>
      </c>
      <c r="Q68" s="143">
        <f t="shared" si="60"/>
        <v>1057000</v>
      </c>
      <c r="R68" s="160">
        <f t="shared" si="61"/>
        <v>9876.387022337216</v>
      </c>
      <c r="S68" s="160">
        <f t="shared" si="62"/>
        <v>27832</v>
      </c>
      <c r="T68" s="171">
        <f t="shared" si="63"/>
        <v>9155.7418988888876</v>
      </c>
      <c r="U68" s="162" t="str">
        <f t="shared" si="64"/>
        <v/>
      </c>
      <c r="V68" s="148">
        <f t="shared" si="65"/>
        <v>-326813.01</v>
      </c>
      <c r="W68" s="152" t="str">
        <f t="shared" si="66"/>
        <v/>
      </c>
      <c r="X68" s="153" t="str">
        <f t="shared" si="67"/>
        <v/>
      </c>
      <c r="Y68" s="132" t="e">
        <f t="shared" si="68"/>
        <v>#VALUE!</v>
      </c>
      <c r="Z68" s="155">
        <f t="shared" si="69"/>
        <v>-7.2966472640092025E-2</v>
      </c>
      <c r="AA68" s="132">
        <f t="shared" si="70"/>
        <v>-720.64512344832838</v>
      </c>
      <c r="AB68" s="202">
        <f t="shared" si="71"/>
        <v>-334600</v>
      </c>
    </row>
    <row r="69" spans="1:28" ht="18" customHeight="1" x14ac:dyDescent="0.25">
      <c r="A69" s="138">
        <v>67</v>
      </c>
      <c r="B69" s="163" t="str">
        <f>Квар.реализация!B43</f>
        <v xml:space="preserve"> с. Красноусольский</v>
      </c>
      <c r="C69" s="163" t="str">
        <f>Квар.реализация!C43</f>
        <v>ул. Садовая, д. 27</v>
      </c>
      <c r="D69" s="163">
        <f>Квар.реализация!J43</f>
        <v>72.400000000000006</v>
      </c>
      <c r="E69" s="166">
        <f>Квар.реализация!M43</f>
        <v>2015</v>
      </c>
      <c r="F69" s="166"/>
      <c r="G69" s="160">
        <v>2027200.0000000002</v>
      </c>
      <c r="H69" s="161"/>
      <c r="I69" s="172">
        <f t="shared" si="54"/>
        <v>2027200.0000000002</v>
      </c>
      <c r="J69" s="176">
        <f t="shared" si="55"/>
        <v>0</v>
      </c>
      <c r="K69" s="163">
        <f>Квар.реализация!O43</f>
        <v>1879065.79</v>
      </c>
      <c r="L69" s="160">
        <f t="shared" si="56"/>
        <v>148134.2100000002</v>
      </c>
      <c r="M69" s="163">
        <f>Квар.реализация!AD43</f>
        <v>1375600</v>
      </c>
      <c r="N69" s="160">
        <f t="shared" si="57"/>
        <v>19000</v>
      </c>
      <c r="O69" s="164">
        <f t="shared" si="58"/>
        <v>0.32142857142857151</v>
      </c>
      <c r="P69" s="164">
        <f t="shared" si="59"/>
        <v>0.26793409399465468</v>
      </c>
      <c r="Q69" s="143">
        <f t="shared" si="60"/>
        <v>1504000</v>
      </c>
      <c r="R69" s="160">
        <f t="shared" si="61"/>
        <v>14053.061571991648</v>
      </c>
      <c r="S69" s="160">
        <f t="shared" si="62"/>
        <v>40544.000000000007</v>
      </c>
      <c r="T69" s="171">
        <f t="shared" si="63"/>
        <v>13292.52356777778</v>
      </c>
      <c r="U69" s="162" t="str">
        <f t="shared" si="64"/>
        <v/>
      </c>
      <c r="V69" s="148">
        <f t="shared" si="65"/>
        <v>-503465.79000000004</v>
      </c>
      <c r="W69" s="152" t="str">
        <f t="shared" si="66"/>
        <v/>
      </c>
      <c r="X69" s="153" t="str">
        <f t="shared" si="67"/>
        <v/>
      </c>
      <c r="Y69" s="132" t="e">
        <f t="shared" si="68"/>
        <v>#VALUE!</v>
      </c>
      <c r="Z69" s="155">
        <f t="shared" si="69"/>
        <v>-5.4119025972934783E-2</v>
      </c>
      <c r="AA69" s="132">
        <f t="shared" si="70"/>
        <v>-760.53800421386768</v>
      </c>
      <c r="AB69" s="202">
        <f t="shared" si="71"/>
        <v>-523200.00000000023</v>
      </c>
    </row>
    <row r="70" spans="1:28" ht="18" customHeight="1" x14ac:dyDescent="0.25">
      <c r="A70" s="138">
        <v>68</v>
      </c>
      <c r="B70" s="163" t="str">
        <f>Квар.реализация!B44</f>
        <v xml:space="preserve"> с. Красноусольский</v>
      </c>
      <c r="C70" s="163" t="str">
        <f>Квар.реализация!C44</f>
        <v>ул. Садовая, д. 27</v>
      </c>
      <c r="D70" s="163">
        <f>Квар.реализация!J44</f>
        <v>72.3</v>
      </c>
      <c r="E70" s="166">
        <f>Квар.реализация!M44</f>
        <v>2015</v>
      </c>
      <c r="F70" s="166"/>
      <c r="G70" s="160">
        <v>2024400</v>
      </c>
      <c r="H70" s="161"/>
      <c r="I70" s="172">
        <f t="shared" si="54"/>
        <v>2024400</v>
      </c>
      <c r="J70" s="176">
        <f t="shared" si="55"/>
        <v>0</v>
      </c>
      <c r="K70" s="163">
        <f>Квар.реализация!O44</f>
        <v>1828610.49</v>
      </c>
      <c r="L70" s="160">
        <f t="shared" si="56"/>
        <v>195789.51</v>
      </c>
      <c r="M70" s="163">
        <f>Квар.реализация!AD44</f>
        <v>1373700</v>
      </c>
      <c r="N70" s="160">
        <f t="shared" si="57"/>
        <v>19000</v>
      </c>
      <c r="O70" s="164">
        <f t="shared" si="58"/>
        <v>0.32142857142857145</v>
      </c>
      <c r="P70" s="164">
        <f t="shared" si="59"/>
        <v>0.24877385998152071</v>
      </c>
      <c r="Q70" s="143">
        <f t="shared" si="60"/>
        <v>1463000</v>
      </c>
      <c r="R70" s="160">
        <f t="shared" si="61"/>
        <v>13669.966143499852</v>
      </c>
      <c r="S70" s="160">
        <f t="shared" si="62"/>
        <v>40488</v>
      </c>
      <c r="T70" s="171">
        <f t="shared" si="63"/>
        <v>13226.303823333334</v>
      </c>
      <c r="U70" s="162" t="str">
        <f t="shared" si="64"/>
        <v/>
      </c>
      <c r="V70" s="148">
        <f t="shared" si="65"/>
        <v>-454910.49</v>
      </c>
      <c r="W70" s="152" t="str">
        <f t="shared" si="66"/>
        <v/>
      </c>
      <c r="X70" s="153" t="str">
        <f t="shared" si="67"/>
        <v/>
      </c>
      <c r="Y70" s="132" t="e">
        <f t="shared" si="68"/>
        <v>#VALUE!</v>
      </c>
      <c r="Z70" s="155">
        <f t="shared" si="69"/>
        <v>-3.2455261081790081E-2</v>
      </c>
      <c r="AA70" s="132">
        <f t="shared" si="70"/>
        <v>-443.66232016651884</v>
      </c>
      <c r="AB70" s="202">
        <f t="shared" si="71"/>
        <v>-561400</v>
      </c>
    </row>
    <row r="71" spans="1:28" ht="18" customHeight="1" x14ac:dyDescent="0.25">
      <c r="A71" s="138">
        <v>69</v>
      </c>
      <c r="B71" s="163" t="str">
        <f>Квар.реализация!B67</f>
        <v xml:space="preserve"> с. Красноусольский</v>
      </c>
      <c r="C71" s="163" t="str">
        <f>Квар.реализация!C67</f>
        <v xml:space="preserve"> ул. Садовая, д. 27/1</v>
      </c>
      <c r="D71" s="163">
        <f>Квар.реализация!J67</f>
        <v>55.2</v>
      </c>
      <c r="E71" s="166">
        <f>Квар.реализация!M67</f>
        <v>2015</v>
      </c>
      <c r="F71" s="166"/>
      <c r="G71" s="160">
        <v>1545600</v>
      </c>
      <c r="H71" s="161"/>
      <c r="I71" s="172">
        <f t="shared" si="54"/>
        <v>1545600</v>
      </c>
      <c r="J71" s="176">
        <f t="shared" si="55"/>
        <v>-12483.919999999925</v>
      </c>
      <c r="K71" s="163">
        <f>Квар.реализация!O67</f>
        <v>1558083.92</v>
      </c>
      <c r="L71" s="160">
        <f t="shared" si="56"/>
        <v>-12483.919999999925</v>
      </c>
      <c r="M71" s="163">
        <f>Квар.реализация!AD67</f>
        <v>1104000</v>
      </c>
      <c r="N71" s="160">
        <f t="shared" si="57"/>
        <v>20000</v>
      </c>
      <c r="O71" s="164">
        <f t="shared" si="58"/>
        <v>0.2857142857142857</v>
      </c>
      <c r="P71" s="164">
        <f t="shared" si="59"/>
        <v>0.29143739574695049</v>
      </c>
      <c r="Q71" s="143">
        <f t="shared" si="60"/>
        <v>1247000</v>
      </c>
      <c r="R71" s="160">
        <f t="shared" si="61"/>
        <v>11651.707300713819</v>
      </c>
      <c r="S71" s="160">
        <f t="shared" si="62"/>
        <v>30912</v>
      </c>
      <c r="T71" s="171">
        <f t="shared" si="63"/>
        <v>10260.057253333332</v>
      </c>
      <c r="U71" s="162" t="str">
        <f t="shared" si="64"/>
        <v/>
      </c>
      <c r="V71" s="148">
        <f t="shared" si="65"/>
        <v>-454083.91999999993</v>
      </c>
      <c r="W71" s="152" t="str">
        <f t="shared" si="66"/>
        <v/>
      </c>
      <c r="X71" s="153" t="str">
        <f t="shared" si="67"/>
        <v/>
      </c>
      <c r="Y71" s="132" t="e">
        <f t="shared" si="68"/>
        <v>#VALUE!</v>
      </c>
      <c r="Z71" s="155">
        <f t="shared" si="69"/>
        <v>-0.11943743620260952</v>
      </c>
      <c r="AA71" s="132">
        <f t="shared" si="70"/>
        <v>-1391.6500473804863</v>
      </c>
      <c r="AB71" s="202">
        <f t="shared" si="71"/>
        <v>-298600</v>
      </c>
    </row>
    <row r="72" spans="1:28" ht="18" customHeight="1" x14ac:dyDescent="0.25">
      <c r="A72" s="138">
        <v>70</v>
      </c>
      <c r="B72" s="163" t="str">
        <f>Квар.реализация!B68</f>
        <v xml:space="preserve"> с. Красноусольский</v>
      </c>
      <c r="C72" s="163" t="str">
        <f>Квар.реализация!C68</f>
        <v xml:space="preserve"> ул. Садовая, д. 27/1</v>
      </c>
      <c r="D72" s="163">
        <f>Квар.реализация!J68</f>
        <v>74</v>
      </c>
      <c r="E72" s="166">
        <f>Квар.реализация!M68</f>
        <v>2015</v>
      </c>
      <c r="F72" s="166"/>
      <c r="G72" s="160">
        <v>2072000</v>
      </c>
      <c r="H72" s="161"/>
      <c r="I72" s="172">
        <f t="shared" si="54"/>
        <v>2072000</v>
      </c>
      <c r="J72" s="176">
        <f t="shared" si="55"/>
        <v>0</v>
      </c>
      <c r="K72" s="163">
        <f>Квар.реализация!O68</f>
        <v>2020830.25</v>
      </c>
      <c r="L72" s="160">
        <f t="shared" si="56"/>
        <v>51169.75</v>
      </c>
      <c r="M72" s="163">
        <f>Квар.реализация!AD68</f>
        <v>1406000</v>
      </c>
      <c r="N72" s="160">
        <f t="shared" si="57"/>
        <v>19000</v>
      </c>
      <c r="O72" s="164">
        <f t="shared" si="58"/>
        <v>0.32142857142857145</v>
      </c>
      <c r="P72" s="164">
        <f t="shared" si="59"/>
        <v>0.30424636111815923</v>
      </c>
      <c r="Q72" s="143">
        <f t="shared" si="60"/>
        <v>1617000</v>
      </c>
      <c r="R72" s="160">
        <f t="shared" si="61"/>
        <v>15108.909948078786</v>
      </c>
      <c r="S72" s="160">
        <f t="shared" si="62"/>
        <v>41440</v>
      </c>
      <c r="T72" s="171">
        <f t="shared" si="63"/>
        <v>13686.519138888889</v>
      </c>
      <c r="U72" s="162" t="str">
        <f t="shared" si="64"/>
        <v/>
      </c>
      <c r="V72" s="148">
        <f t="shared" si="65"/>
        <v>-614830.25</v>
      </c>
      <c r="W72" s="152" t="str">
        <f t="shared" si="66"/>
        <v/>
      </c>
      <c r="X72" s="153" t="str">
        <f t="shared" si="67"/>
        <v/>
      </c>
      <c r="Y72" s="132" t="e">
        <f t="shared" si="68"/>
        <v>#VALUE!</v>
      </c>
      <c r="Z72" s="155">
        <f t="shared" si="69"/>
        <v>-9.4142516837938089E-2</v>
      </c>
      <c r="AA72" s="132">
        <f t="shared" si="70"/>
        <v>-1422.3908091898975</v>
      </c>
      <c r="AB72" s="202">
        <f t="shared" si="71"/>
        <v>-455000</v>
      </c>
    </row>
    <row r="73" spans="1:28" ht="18" customHeight="1" x14ac:dyDescent="0.25">
      <c r="A73" s="138">
        <v>71</v>
      </c>
      <c r="B73" s="163" t="str">
        <f>Квар.реализация!B69</f>
        <v xml:space="preserve"> с. Красноусольский</v>
      </c>
      <c r="C73" s="163" t="str">
        <f>Квар.реализация!C69</f>
        <v xml:space="preserve"> ул. Садовая, д. 27/1</v>
      </c>
      <c r="D73" s="163">
        <f>Квар.реализация!J69</f>
        <v>74.099999999999994</v>
      </c>
      <c r="E73" s="166">
        <f>Квар.реализация!M69</f>
        <v>2015</v>
      </c>
      <c r="F73" s="166"/>
      <c r="G73" s="160">
        <v>2074799.9999999998</v>
      </c>
      <c r="H73" s="161"/>
      <c r="I73" s="172">
        <f t="shared" si="54"/>
        <v>2074799.9999999998</v>
      </c>
      <c r="J73" s="176">
        <f t="shared" si="55"/>
        <v>0</v>
      </c>
      <c r="K73" s="163">
        <f>Квар.реализация!O69</f>
        <v>2020830.25</v>
      </c>
      <c r="L73" s="160">
        <f t="shared" si="56"/>
        <v>53969.749999999767</v>
      </c>
      <c r="M73" s="163">
        <f>Квар.реализация!AD69</f>
        <v>1407900</v>
      </c>
      <c r="N73" s="160">
        <f t="shared" si="57"/>
        <v>19000</v>
      </c>
      <c r="O73" s="164">
        <f t="shared" si="58"/>
        <v>0.32142857142857134</v>
      </c>
      <c r="P73" s="164">
        <f t="shared" si="59"/>
        <v>0.30330615349804863</v>
      </c>
      <c r="Q73" s="143">
        <f t="shared" si="60"/>
        <v>1617000</v>
      </c>
      <c r="R73" s="160">
        <f t="shared" si="61"/>
        <v>15108.909948078786</v>
      </c>
      <c r="S73" s="160">
        <f t="shared" si="62"/>
        <v>41495.999999999993</v>
      </c>
      <c r="T73" s="171">
        <f t="shared" si="63"/>
        <v>13702.283583333332</v>
      </c>
      <c r="U73" s="162" t="str">
        <f t="shared" si="64"/>
        <v/>
      </c>
      <c r="V73" s="148">
        <f t="shared" si="65"/>
        <v>-612930.25</v>
      </c>
      <c r="W73" s="152" t="str">
        <f t="shared" si="66"/>
        <v/>
      </c>
      <c r="X73" s="153" t="str">
        <f t="shared" si="67"/>
        <v/>
      </c>
      <c r="Y73" s="132" t="e">
        <f t="shared" si="68"/>
        <v>#VALUE!</v>
      </c>
      <c r="Z73" s="155">
        <f t="shared" si="69"/>
        <v>-9.3099129558603111E-2</v>
      </c>
      <c r="AA73" s="132">
        <f t="shared" si="70"/>
        <v>-1406.6263647454543</v>
      </c>
      <c r="AB73" s="202">
        <f t="shared" si="71"/>
        <v>-457799.99999999977</v>
      </c>
    </row>
    <row r="74" spans="1:28" ht="18" customHeight="1" x14ac:dyDescent="0.25">
      <c r="A74" s="138">
        <v>72</v>
      </c>
      <c r="B74" s="163" t="str">
        <f>Квар.реализация!B70</f>
        <v xml:space="preserve"> с. Красноусольский</v>
      </c>
      <c r="C74" s="163" t="str">
        <f>Квар.реализация!C70</f>
        <v xml:space="preserve"> ул. Садовая, д. 27/1</v>
      </c>
      <c r="D74" s="163">
        <f>Квар.реализация!J70</f>
        <v>74.2</v>
      </c>
      <c r="E74" s="166">
        <f>Квар.реализация!M70</f>
        <v>2015</v>
      </c>
      <c r="F74" s="166"/>
      <c r="G74" s="160">
        <v>2077600</v>
      </c>
      <c r="H74" s="161"/>
      <c r="I74" s="172">
        <f t="shared" si="54"/>
        <v>2077600</v>
      </c>
      <c r="J74" s="176">
        <f t="shared" si="55"/>
        <v>0</v>
      </c>
      <c r="K74" s="163">
        <f>Квар.реализация!O70</f>
        <v>2020830.25</v>
      </c>
      <c r="L74" s="160">
        <f t="shared" si="56"/>
        <v>56769.75</v>
      </c>
      <c r="M74" s="163">
        <f>Квар.реализация!AD70</f>
        <v>1409800</v>
      </c>
      <c r="N74" s="160">
        <f t="shared" si="57"/>
        <v>19000</v>
      </c>
      <c r="O74" s="164">
        <f t="shared" si="58"/>
        <v>0.32142857142857145</v>
      </c>
      <c r="P74" s="164">
        <f t="shared" si="59"/>
        <v>0.30236594587793802</v>
      </c>
      <c r="Q74" s="143">
        <f t="shared" si="60"/>
        <v>1617000</v>
      </c>
      <c r="R74" s="160">
        <f t="shared" si="61"/>
        <v>15108.909948078786</v>
      </c>
      <c r="S74" s="160">
        <f t="shared" si="62"/>
        <v>41552</v>
      </c>
      <c r="T74" s="171">
        <f t="shared" si="63"/>
        <v>13718.048027777777</v>
      </c>
      <c r="U74" s="162" t="str">
        <f t="shared" si="64"/>
        <v/>
      </c>
      <c r="V74" s="148">
        <f t="shared" si="65"/>
        <v>-611030.25</v>
      </c>
      <c r="W74" s="152" t="str">
        <f t="shared" si="66"/>
        <v/>
      </c>
      <c r="X74" s="153" t="str">
        <f t="shared" si="67"/>
        <v/>
      </c>
      <c r="Y74" s="132" t="e">
        <f t="shared" si="68"/>
        <v>#VALUE!</v>
      </c>
      <c r="Z74" s="155">
        <f t="shared" si="69"/>
        <v>-9.2055742279268007E-2</v>
      </c>
      <c r="AA74" s="132">
        <f t="shared" si="70"/>
        <v>-1390.8619203010094</v>
      </c>
      <c r="AB74" s="202">
        <f t="shared" si="71"/>
        <v>-460600</v>
      </c>
    </row>
    <row r="75" spans="1:28" ht="18" customHeight="1" x14ac:dyDescent="0.25">
      <c r="A75" s="138">
        <v>73</v>
      </c>
      <c r="B75" s="163" t="str">
        <f>Квар.реализация!B45</f>
        <v xml:space="preserve"> с. Мишкино</v>
      </c>
      <c r="C75" s="163" t="str">
        <f>Квар.реализация!C45</f>
        <v>ул. Юбилейная, д. 6 б/1</v>
      </c>
      <c r="D75" s="163">
        <f>Квар.реализация!J45</f>
        <v>36.6</v>
      </c>
      <c r="E75" s="166">
        <f>Квар.реализация!M45</f>
        <v>2015</v>
      </c>
      <c r="F75" s="166" t="s">
        <v>580</v>
      </c>
      <c r="G75" s="160">
        <v>1024800</v>
      </c>
      <c r="H75" s="161"/>
      <c r="I75" s="172">
        <f t="shared" si="54"/>
        <v>1024800</v>
      </c>
      <c r="J75" s="205">
        <f t="shared" si="55"/>
        <v>-34133.860000000102</v>
      </c>
      <c r="K75" s="163">
        <f>Квар.реализация!O45</f>
        <v>1058933.8600000001</v>
      </c>
      <c r="L75" s="160">
        <f t="shared" si="56"/>
        <v>-34133.860000000102</v>
      </c>
      <c r="M75" s="163">
        <f>Квар.реализация!AD45</f>
        <v>805200</v>
      </c>
      <c r="N75" s="160">
        <f t="shared" si="57"/>
        <v>22000</v>
      </c>
      <c r="O75" s="164">
        <f t="shared" si="58"/>
        <v>0.21428571428571427</v>
      </c>
      <c r="P75" s="164">
        <f t="shared" si="59"/>
        <v>0.23961256654877394</v>
      </c>
      <c r="Q75" s="143">
        <f t="shared" si="60"/>
        <v>848000</v>
      </c>
      <c r="R75" s="160">
        <f t="shared" si="61"/>
        <v>7923.5347161229502</v>
      </c>
      <c r="S75" s="160">
        <f t="shared" si="62"/>
        <v>20496</v>
      </c>
      <c r="T75" s="171">
        <f t="shared" si="63"/>
        <v>6828.720526666666</v>
      </c>
      <c r="U75" s="162" t="str">
        <f t="shared" si="64"/>
        <v/>
      </c>
      <c r="V75" s="148">
        <f t="shared" si="65"/>
        <v>-253733.8600000001</v>
      </c>
      <c r="W75" s="152" t="str">
        <f t="shared" si="66"/>
        <v/>
      </c>
      <c r="X75" s="153" t="str">
        <f t="shared" si="67"/>
        <v/>
      </c>
      <c r="Y75" s="132" t="e">
        <f t="shared" si="68"/>
        <v>#VALUE!</v>
      </c>
      <c r="Z75" s="155">
        <f t="shared" si="69"/>
        <v>-0.13817244811567955</v>
      </c>
      <c r="AA75" s="132">
        <f t="shared" si="70"/>
        <v>-1094.8141894562841</v>
      </c>
      <c r="AB75" s="202">
        <f t="shared" si="71"/>
        <v>-176800</v>
      </c>
    </row>
    <row r="76" spans="1:28" ht="18" customHeight="1" x14ac:dyDescent="0.25">
      <c r="A76" s="138">
        <v>74</v>
      </c>
      <c r="B76" s="163" t="str">
        <f>Квар.реализация!B46</f>
        <v xml:space="preserve"> с. Мишкино</v>
      </c>
      <c r="C76" s="163" t="str">
        <f>Квар.реализация!C46</f>
        <v>ул. Юбилейная, д. 6 б/1</v>
      </c>
      <c r="D76" s="163">
        <f>Квар.реализация!J46</f>
        <v>60.1</v>
      </c>
      <c r="E76" s="166">
        <f>Квар.реализация!M46</f>
        <v>2015</v>
      </c>
      <c r="F76" s="166" t="s">
        <v>580</v>
      </c>
      <c r="G76" s="160">
        <v>1682800</v>
      </c>
      <c r="H76" s="161"/>
      <c r="I76" s="172">
        <f t="shared" si="54"/>
        <v>1682800</v>
      </c>
      <c r="J76" s="205">
        <f t="shared" si="55"/>
        <v>-123119.48999999999</v>
      </c>
      <c r="K76" s="163">
        <f>Квар.реализация!O46</f>
        <v>1805919.49</v>
      </c>
      <c r="L76" s="160">
        <f t="shared" si="56"/>
        <v>-123119.48999999999</v>
      </c>
      <c r="M76" s="163">
        <f>Квар.реализация!AD46</f>
        <v>1322200</v>
      </c>
      <c r="N76" s="160">
        <f t="shared" si="57"/>
        <v>22000</v>
      </c>
      <c r="O76" s="164">
        <f t="shared" si="58"/>
        <v>0.21428571428571427</v>
      </c>
      <c r="P76" s="164">
        <f t="shared" si="59"/>
        <v>0.2678521898005542</v>
      </c>
      <c r="Q76" s="143">
        <f t="shared" si="60"/>
        <v>1445000</v>
      </c>
      <c r="R76" s="160">
        <f t="shared" si="61"/>
        <v>13501.777906601017</v>
      </c>
      <c r="S76" s="160">
        <f t="shared" si="62"/>
        <v>33656</v>
      </c>
      <c r="T76" s="171">
        <f t="shared" si="63"/>
        <v>11280.350601111111</v>
      </c>
      <c r="U76" s="162" t="str">
        <f t="shared" si="64"/>
        <v/>
      </c>
      <c r="V76" s="148">
        <f t="shared" si="65"/>
        <v>-483719.49</v>
      </c>
      <c r="W76" s="152" t="str">
        <f t="shared" si="66"/>
        <v/>
      </c>
      <c r="X76" s="153" t="str">
        <f t="shared" si="67"/>
        <v/>
      </c>
      <c r="Y76" s="132" t="e">
        <f t="shared" si="68"/>
        <v>#VALUE!</v>
      </c>
      <c r="Z76" s="155">
        <f t="shared" si="69"/>
        <v>-0.16452850290211413</v>
      </c>
      <c r="AA76" s="132">
        <f t="shared" si="70"/>
        <v>-2221.4273054899058</v>
      </c>
      <c r="AB76" s="202">
        <f t="shared" si="71"/>
        <v>-237800</v>
      </c>
    </row>
    <row r="77" spans="1:28" ht="18" customHeight="1" x14ac:dyDescent="0.25">
      <c r="A77" s="138">
        <v>75</v>
      </c>
      <c r="B77" s="163" t="str">
        <f>Квар.реализация!B78</f>
        <v xml:space="preserve"> с. Наумовка</v>
      </c>
      <c r="C77" s="163" t="str">
        <f>Квар.реализация!C78</f>
        <v xml:space="preserve"> ул. Ленина, д. 35а, литер 2</v>
      </c>
      <c r="D77" s="163">
        <f>Квар.реализация!J78</f>
        <v>48.1</v>
      </c>
      <c r="E77" s="166">
        <f>Квар.реализация!M78</f>
        <v>2016</v>
      </c>
      <c r="F77" s="166" t="s">
        <v>580</v>
      </c>
      <c r="G77" s="160">
        <v>1539200</v>
      </c>
      <c r="H77" s="161"/>
      <c r="I77" s="172">
        <f t="shared" si="54"/>
        <v>1539200</v>
      </c>
      <c r="J77" s="205">
        <f t="shared" si="55"/>
        <v>0</v>
      </c>
      <c r="K77" s="163">
        <f>Квар.реализация!O78</f>
        <v>1472390.04</v>
      </c>
      <c r="L77" s="160">
        <f t="shared" si="56"/>
        <v>66809.959999999963</v>
      </c>
      <c r="M77" s="163">
        <f>Квар.реализация!AD78</f>
        <v>1443000</v>
      </c>
      <c r="N77" s="160">
        <f t="shared" si="57"/>
        <v>30000</v>
      </c>
      <c r="O77" s="164">
        <f t="shared" si="58"/>
        <v>6.25E-2</v>
      </c>
      <c r="P77" s="164">
        <f t="shared" si="59"/>
        <v>1.9960770720779963E-2</v>
      </c>
      <c r="Q77" s="143">
        <f t="shared" si="60"/>
        <v>1443000</v>
      </c>
      <c r="R77" s="160">
        <f t="shared" si="61"/>
        <v>13483.090324723367</v>
      </c>
      <c r="S77" s="160">
        <f t="shared" si="62"/>
        <v>30784</v>
      </c>
      <c r="T77" s="171">
        <f t="shared" si="63"/>
        <v>10102.598928888889</v>
      </c>
      <c r="U77" s="162" t="str">
        <f t="shared" si="64"/>
        <v/>
      </c>
      <c r="V77" s="148">
        <f t="shared" si="65"/>
        <v>-29390.040000000037</v>
      </c>
      <c r="W77" s="152" t="str">
        <f t="shared" si="66"/>
        <v/>
      </c>
      <c r="X77" s="153" t="str">
        <f t="shared" si="67"/>
        <v/>
      </c>
      <c r="Y77" s="132">
        <v>0</v>
      </c>
      <c r="Z77" s="155">
        <f t="shared" si="69"/>
        <v>-0.25072081506684085</v>
      </c>
      <c r="AA77" s="132">
        <f t="shared" si="70"/>
        <v>-3380.4913958344787</v>
      </c>
      <c r="AB77" s="202">
        <f t="shared" si="71"/>
        <v>-96200</v>
      </c>
    </row>
    <row r="78" spans="1:28" ht="18" customHeight="1" x14ac:dyDescent="0.25">
      <c r="A78" s="138">
        <v>76</v>
      </c>
      <c r="B78" s="163" t="str">
        <f>Квар.реализация!B79</f>
        <v xml:space="preserve"> с. Наумовка</v>
      </c>
      <c r="C78" s="163" t="str">
        <f>Квар.реализация!C79</f>
        <v xml:space="preserve"> ул. Ленина, д. 35а, литер 2</v>
      </c>
      <c r="D78" s="163">
        <f>Квар.реализация!J79</f>
        <v>48.1</v>
      </c>
      <c r="E78" s="166">
        <f>Квар.реализация!M79</f>
        <v>2016</v>
      </c>
      <c r="F78" s="166" t="s">
        <v>580</v>
      </c>
      <c r="G78" s="160">
        <v>1539200</v>
      </c>
      <c r="H78" s="161"/>
      <c r="I78" s="172">
        <f t="shared" si="54"/>
        <v>1539200</v>
      </c>
      <c r="J78" s="205">
        <f t="shared" si="55"/>
        <v>0</v>
      </c>
      <c r="K78" s="163">
        <f>Квар.реализация!O79</f>
        <v>1472390.04</v>
      </c>
      <c r="L78" s="160">
        <f t="shared" si="56"/>
        <v>66809.959999999963</v>
      </c>
      <c r="M78" s="163">
        <f>Квар.реализация!AD79</f>
        <v>1443000</v>
      </c>
      <c r="N78" s="160">
        <f t="shared" si="57"/>
        <v>30000</v>
      </c>
      <c r="O78" s="164">
        <f t="shared" si="58"/>
        <v>6.25E-2</v>
      </c>
      <c r="P78" s="164">
        <f t="shared" si="59"/>
        <v>1.9960770720779963E-2</v>
      </c>
      <c r="Q78" s="143">
        <f t="shared" si="60"/>
        <v>1443000</v>
      </c>
      <c r="R78" s="160">
        <f t="shared" si="61"/>
        <v>13483.090324723367</v>
      </c>
      <c r="S78" s="160">
        <f t="shared" si="62"/>
        <v>30784</v>
      </c>
      <c r="T78" s="171">
        <f t="shared" si="63"/>
        <v>10102.598928888889</v>
      </c>
      <c r="U78" s="162" t="str">
        <f t="shared" si="64"/>
        <v/>
      </c>
      <c r="V78" s="148">
        <f t="shared" si="65"/>
        <v>-29390.040000000037</v>
      </c>
      <c r="W78" s="152" t="str">
        <f t="shared" si="66"/>
        <v/>
      </c>
      <c r="X78" s="153" t="str">
        <f t="shared" si="67"/>
        <v/>
      </c>
      <c r="Y78" s="132">
        <v>0</v>
      </c>
      <c r="Z78" s="155">
        <f t="shared" si="69"/>
        <v>-0.25072081506684085</v>
      </c>
      <c r="AA78" s="132">
        <f t="shared" si="70"/>
        <v>-3380.4913958344787</v>
      </c>
      <c r="AB78" s="202">
        <f t="shared" si="71"/>
        <v>-96200</v>
      </c>
    </row>
    <row r="79" spans="1:28" ht="18" customHeight="1" x14ac:dyDescent="0.25">
      <c r="A79" s="138">
        <v>77</v>
      </c>
      <c r="B79" s="163" t="str">
        <f>Квар.реализация!B80</f>
        <v xml:space="preserve"> с. Наумовка</v>
      </c>
      <c r="C79" s="163" t="str">
        <f>Квар.реализация!C80</f>
        <v xml:space="preserve"> ул. Ленина, д. 35а, литер 2</v>
      </c>
      <c r="D79" s="163">
        <f>Квар.реализация!J80</f>
        <v>62.2</v>
      </c>
      <c r="E79" s="166">
        <f>Квар.реализация!M80</f>
        <v>2016</v>
      </c>
      <c r="F79" s="166" t="s">
        <v>580</v>
      </c>
      <c r="G79" s="160">
        <v>1990400</v>
      </c>
      <c r="H79" s="161"/>
      <c r="I79" s="172">
        <f t="shared" si="54"/>
        <v>1990400</v>
      </c>
      <c r="J79" s="205">
        <f t="shared" si="55"/>
        <v>-14037.629999999888</v>
      </c>
      <c r="K79" s="163">
        <f>Квар.реализация!O80</f>
        <v>2004437.63</v>
      </c>
      <c r="L79" s="160">
        <f t="shared" si="56"/>
        <v>-14037.629999999888</v>
      </c>
      <c r="M79" s="163">
        <f>Квар.реализация!AD80</f>
        <v>1866000</v>
      </c>
      <c r="N79" s="160">
        <f t="shared" si="57"/>
        <v>30000</v>
      </c>
      <c r="O79" s="164">
        <f t="shared" si="58"/>
        <v>6.25E-2</v>
      </c>
      <c r="P79" s="164">
        <f t="shared" si="59"/>
        <v>6.9065571274472576E-2</v>
      </c>
      <c r="Q79" s="143">
        <f t="shared" si="60"/>
        <v>1866000</v>
      </c>
      <c r="R79" s="160">
        <f t="shared" si="61"/>
        <v>17435.513891846022</v>
      </c>
      <c r="S79" s="160">
        <f t="shared" si="62"/>
        <v>39808</v>
      </c>
      <c r="T79" s="171">
        <f t="shared" si="63"/>
        <v>13164.499852222225</v>
      </c>
      <c r="U79" s="162" t="str">
        <f t="shared" si="64"/>
        <v/>
      </c>
      <c r="V79" s="148">
        <f t="shared" si="65"/>
        <v>-138437.62999999989</v>
      </c>
      <c r="W79" s="152" t="str">
        <f t="shared" si="66"/>
        <v/>
      </c>
      <c r="X79" s="153" t="str">
        <f t="shared" si="67"/>
        <v/>
      </c>
      <c r="Y79" s="132">
        <v>0</v>
      </c>
      <c r="Z79" s="155">
        <f t="shared" si="69"/>
        <v>-0.24496060546980494</v>
      </c>
      <c r="AA79" s="132">
        <f t="shared" si="70"/>
        <v>-4271.0140396237966</v>
      </c>
      <c r="AB79" s="202">
        <f t="shared" si="71"/>
        <v>-124400</v>
      </c>
    </row>
    <row r="80" spans="1:28" ht="18" customHeight="1" x14ac:dyDescent="0.25">
      <c r="A80" s="138">
        <v>78</v>
      </c>
      <c r="B80" s="163" t="str">
        <f>Квар.реализация!B81</f>
        <v xml:space="preserve"> с. Наумовка</v>
      </c>
      <c r="C80" s="163" t="str">
        <f>Квар.реализация!C81</f>
        <v xml:space="preserve"> ул. Ленина, д. 35а, литер 2</v>
      </c>
      <c r="D80" s="163">
        <f>Квар.реализация!J81</f>
        <v>48.6</v>
      </c>
      <c r="E80" s="166">
        <f>Квар.реализация!M81</f>
        <v>2016</v>
      </c>
      <c r="F80" s="166" t="s">
        <v>580</v>
      </c>
      <c r="G80" s="160">
        <v>1555200</v>
      </c>
      <c r="H80" s="161"/>
      <c r="I80" s="172">
        <f t="shared" si="54"/>
        <v>1555200</v>
      </c>
      <c r="J80" s="205">
        <f t="shared" si="55"/>
        <v>0</v>
      </c>
      <c r="K80" s="163">
        <f>Квар.реализация!O81</f>
        <v>1516883.2</v>
      </c>
      <c r="L80" s="160">
        <f t="shared" si="56"/>
        <v>38316.800000000047</v>
      </c>
      <c r="M80" s="163">
        <f>Квар.реализация!AD81</f>
        <v>1458000</v>
      </c>
      <c r="N80" s="160">
        <f t="shared" si="57"/>
        <v>30000</v>
      </c>
      <c r="O80" s="164">
        <f t="shared" si="58"/>
        <v>6.25E-2</v>
      </c>
      <c r="P80" s="164">
        <f t="shared" si="59"/>
        <v>3.8818545818161847E-2</v>
      </c>
      <c r="Q80" s="143">
        <f t="shared" si="60"/>
        <v>1458000</v>
      </c>
      <c r="R80" s="160">
        <f t="shared" si="61"/>
        <v>13623.247188805732</v>
      </c>
      <c r="S80" s="160">
        <f t="shared" si="62"/>
        <v>31104</v>
      </c>
      <c r="T80" s="171">
        <f t="shared" si="63"/>
        <v>10236.8032</v>
      </c>
      <c r="U80" s="162" t="str">
        <f t="shared" si="64"/>
        <v/>
      </c>
      <c r="V80" s="148">
        <f t="shared" si="65"/>
        <v>-58883.199999999953</v>
      </c>
      <c r="W80" s="152" t="str">
        <f t="shared" si="66"/>
        <v/>
      </c>
      <c r="X80" s="153" t="str">
        <f t="shared" si="67"/>
        <v/>
      </c>
      <c r="Y80" s="132">
        <v>0</v>
      </c>
      <c r="Z80" s="155">
        <f t="shared" si="69"/>
        <v>-0.24857832658196086</v>
      </c>
      <c r="AA80" s="132">
        <f t="shared" si="70"/>
        <v>-3386.4439888057314</v>
      </c>
      <c r="AB80" s="202">
        <f t="shared" si="71"/>
        <v>-97200</v>
      </c>
    </row>
    <row r="81" spans="1:28" ht="18" customHeight="1" x14ac:dyDescent="0.25">
      <c r="A81" s="138">
        <v>79</v>
      </c>
      <c r="B81" s="163" t="str">
        <f>Квар.реализация!B82</f>
        <v xml:space="preserve"> с. Наумовка</v>
      </c>
      <c r="C81" s="163" t="str">
        <f>Квар.реализация!C82</f>
        <v xml:space="preserve"> ул. Ленина, д. 35а, литер 2</v>
      </c>
      <c r="D81" s="163">
        <f>Квар.реализация!J82</f>
        <v>63.3</v>
      </c>
      <c r="E81" s="166">
        <f>Квар.реализация!M82</f>
        <v>2016</v>
      </c>
      <c r="F81" s="166" t="s">
        <v>580</v>
      </c>
      <c r="G81" s="160">
        <v>2025600</v>
      </c>
      <c r="H81" s="161"/>
      <c r="I81" s="172">
        <f t="shared" si="54"/>
        <v>2025600</v>
      </c>
      <c r="J81" s="205">
        <f t="shared" si="55"/>
        <v>0</v>
      </c>
      <c r="K81" s="163">
        <f>Квар.реализация!O82</f>
        <v>1951792.2</v>
      </c>
      <c r="L81" s="160">
        <f t="shared" si="56"/>
        <v>73807.800000000047</v>
      </c>
      <c r="M81" s="163">
        <f>Квар.реализация!AD82</f>
        <v>1899000</v>
      </c>
      <c r="N81" s="160">
        <f t="shared" si="57"/>
        <v>30000</v>
      </c>
      <c r="O81" s="164">
        <f t="shared" si="58"/>
        <v>6.25E-2</v>
      </c>
      <c r="P81" s="164">
        <f t="shared" si="59"/>
        <v>2.7048063825646989E-2</v>
      </c>
      <c r="Q81" s="143">
        <f t="shared" si="60"/>
        <v>1899000</v>
      </c>
      <c r="R81" s="160">
        <f t="shared" si="61"/>
        <v>17743.858992827219</v>
      </c>
      <c r="S81" s="160">
        <f t="shared" si="62"/>
        <v>40512</v>
      </c>
      <c r="T81" s="171">
        <f t="shared" si="63"/>
        <v>13309.218866666666</v>
      </c>
      <c r="U81" s="162" t="str">
        <f t="shared" si="64"/>
        <v/>
      </c>
      <c r="V81" s="148">
        <f t="shared" si="65"/>
        <v>-52792.199999999953</v>
      </c>
      <c r="W81" s="152" t="str">
        <f t="shared" si="66"/>
        <v/>
      </c>
      <c r="X81" s="153" t="str">
        <f t="shared" si="67"/>
        <v/>
      </c>
      <c r="Y81" s="132">
        <v>0</v>
      </c>
      <c r="Z81" s="155">
        <f t="shared" si="69"/>
        <v>-0.24992534757817975</v>
      </c>
      <c r="AA81" s="132">
        <f t="shared" si="70"/>
        <v>-4434.6401261605533</v>
      </c>
      <c r="AB81" s="202">
        <f t="shared" si="71"/>
        <v>-126600</v>
      </c>
    </row>
    <row r="82" spans="1:28" ht="18" customHeight="1" x14ac:dyDescent="0.25">
      <c r="A82" s="138">
        <v>80</v>
      </c>
      <c r="B82" s="163" t="str">
        <f>Квар.реализация!B83</f>
        <v xml:space="preserve"> с. Наумовка</v>
      </c>
      <c r="C82" s="163" t="str">
        <f>Квар.реализация!C83</f>
        <v xml:space="preserve"> ул. Ленина, д. 35а, литер 2</v>
      </c>
      <c r="D82" s="163">
        <f>Квар.реализация!J83</f>
        <v>48.9</v>
      </c>
      <c r="E82" s="166">
        <f>Квар.реализация!M83</f>
        <v>2016</v>
      </c>
      <c r="F82" s="166" t="s">
        <v>580</v>
      </c>
      <c r="G82" s="160">
        <v>1564800</v>
      </c>
      <c r="H82" s="161"/>
      <c r="I82" s="172">
        <f t="shared" si="54"/>
        <v>1564800</v>
      </c>
      <c r="J82" s="205">
        <f t="shared" si="55"/>
        <v>0</v>
      </c>
      <c r="K82" s="163">
        <f>Квар.реализация!O83</f>
        <v>1552134.75</v>
      </c>
      <c r="L82" s="160">
        <f t="shared" si="56"/>
        <v>12665.25</v>
      </c>
      <c r="M82" s="163">
        <f>Квар.реализация!AD83</f>
        <v>1467000</v>
      </c>
      <c r="N82" s="160">
        <f t="shared" si="57"/>
        <v>30000</v>
      </c>
      <c r="O82" s="164">
        <f t="shared" si="58"/>
        <v>6.25E-2</v>
      </c>
      <c r="P82" s="164">
        <f t="shared" si="59"/>
        <v>5.4850102415399178E-2</v>
      </c>
      <c r="Q82" s="143">
        <f t="shared" si="60"/>
        <v>1467000</v>
      </c>
      <c r="R82" s="160">
        <f t="shared" si="61"/>
        <v>13707.34130725515</v>
      </c>
      <c r="S82" s="160">
        <f t="shared" si="62"/>
        <v>31296</v>
      </c>
      <c r="T82" s="171">
        <f t="shared" si="63"/>
        <v>10325.881416666667</v>
      </c>
      <c r="U82" s="162" t="str">
        <f t="shared" si="64"/>
        <v/>
      </c>
      <c r="V82" s="148">
        <f t="shared" si="65"/>
        <v>-85134.75</v>
      </c>
      <c r="W82" s="152" t="str">
        <f t="shared" si="66"/>
        <v/>
      </c>
      <c r="X82" s="153" t="str">
        <f t="shared" si="67"/>
        <v/>
      </c>
      <c r="Y82" s="132">
        <v>0</v>
      </c>
      <c r="Z82" s="155">
        <f t="shared" si="69"/>
        <v>-0.24668969822752662</v>
      </c>
      <c r="AA82" s="132">
        <f t="shared" si="70"/>
        <v>-3381.4598905884832</v>
      </c>
      <c r="AB82" s="202">
        <f t="shared" si="71"/>
        <v>-97800</v>
      </c>
    </row>
    <row r="83" spans="1:28" ht="18" customHeight="1" x14ac:dyDescent="0.25">
      <c r="A83" s="138">
        <v>81</v>
      </c>
      <c r="B83" s="163" t="str">
        <f>Квар.реализация!B112</f>
        <v xml:space="preserve"> с. Языково</v>
      </c>
      <c r="C83" s="163" t="str">
        <f>Квар.реализация!C112</f>
        <v xml:space="preserve"> ул. Чапаева, д. 31</v>
      </c>
      <c r="D83" s="163">
        <f>Квар.реализация!J112</f>
        <v>66.7</v>
      </c>
      <c r="E83" s="166">
        <f>Квар.реализация!M112</f>
        <v>2016</v>
      </c>
      <c r="F83" s="166" t="s">
        <v>580</v>
      </c>
      <c r="G83" s="160">
        <v>1934300</v>
      </c>
      <c r="H83" s="161"/>
      <c r="I83" s="172">
        <f t="shared" si="54"/>
        <v>1934300</v>
      </c>
      <c r="J83" s="205">
        <f t="shared" si="55"/>
        <v>0</v>
      </c>
      <c r="K83" s="163">
        <f>Квар.реализация!O112</f>
        <v>1714744.44</v>
      </c>
      <c r="L83" s="160">
        <f t="shared" si="56"/>
        <v>219555.56000000006</v>
      </c>
      <c r="M83" s="163">
        <f>Квар.реализация!AD112</f>
        <v>1400700</v>
      </c>
      <c r="N83" s="160">
        <f t="shared" si="57"/>
        <v>21000</v>
      </c>
      <c r="O83" s="164">
        <f t="shared" si="58"/>
        <v>0.27586206896551724</v>
      </c>
      <c r="P83" s="164">
        <f t="shared" si="59"/>
        <v>0.1831435826087297</v>
      </c>
      <c r="Q83" s="143">
        <f t="shared" si="60"/>
        <v>1400700</v>
      </c>
      <c r="R83" s="160">
        <f t="shared" si="61"/>
        <v>13087.847968011105</v>
      </c>
      <c r="S83" s="160">
        <f t="shared" si="62"/>
        <v>38686</v>
      </c>
      <c r="T83" s="171">
        <f t="shared" si="63"/>
        <v>12592.77332888889</v>
      </c>
      <c r="U83" s="162" t="str">
        <f t="shared" si="64"/>
        <v/>
      </c>
      <c r="V83" s="148">
        <f t="shared" si="65"/>
        <v>-314044.43999999994</v>
      </c>
      <c r="W83" s="152" t="str">
        <f t="shared" si="66"/>
        <v/>
      </c>
      <c r="X83" s="153" t="str">
        <f t="shared" si="67"/>
        <v/>
      </c>
      <c r="Y83" s="132" t="e">
        <f t="shared" ref="Y83:Y91" si="72">W83-K83</f>
        <v>#VALUE!</v>
      </c>
      <c r="Z83" s="155">
        <f t="shared" si="69"/>
        <v>-3.7827046916518288E-2</v>
      </c>
      <c r="AA83" s="132">
        <f t="shared" si="70"/>
        <v>-495.07463912221465</v>
      </c>
      <c r="AB83" s="202">
        <f t="shared" si="71"/>
        <v>-533600</v>
      </c>
    </row>
    <row r="84" spans="1:28" ht="18" customHeight="1" x14ac:dyDescent="0.25">
      <c r="A84" s="138">
        <v>82</v>
      </c>
      <c r="B84" s="163" t="str">
        <f>Квар.реализация!B113</f>
        <v xml:space="preserve"> с. Языково</v>
      </c>
      <c r="C84" s="163" t="str">
        <f>Квар.реализация!C113</f>
        <v xml:space="preserve"> ул. Чапаева, д. 31</v>
      </c>
      <c r="D84" s="163">
        <f>Квар.реализация!J113</f>
        <v>49.6</v>
      </c>
      <c r="E84" s="166">
        <f>Квар.реализация!M113</f>
        <v>2016</v>
      </c>
      <c r="F84" s="166" t="s">
        <v>580</v>
      </c>
      <c r="G84" s="160">
        <v>1438400</v>
      </c>
      <c r="H84" s="161"/>
      <c r="I84" s="172">
        <f t="shared" si="54"/>
        <v>1438400</v>
      </c>
      <c r="J84" s="205">
        <f t="shared" si="55"/>
        <v>0</v>
      </c>
      <c r="K84" s="163">
        <f>Квар.реализация!O113</f>
        <v>1320168.26</v>
      </c>
      <c r="L84" s="160">
        <f t="shared" si="56"/>
        <v>118231.73999999999</v>
      </c>
      <c r="M84" s="163">
        <f>Квар.реализация!AD113</f>
        <v>1041600</v>
      </c>
      <c r="N84" s="160">
        <f t="shared" si="57"/>
        <v>21000</v>
      </c>
      <c r="O84" s="164">
        <f t="shared" si="58"/>
        <v>0.27586206896551724</v>
      </c>
      <c r="P84" s="164">
        <f t="shared" si="59"/>
        <v>0.21100966326822612</v>
      </c>
      <c r="Q84" s="143">
        <f t="shared" si="60"/>
        <v>1057000</v>
      </c>
      <c r="R84" s="160">
        <f t="shared" si="61"/>
        <v>9876.387022337216</v>
      </c>
      <c r="S84" s="160">
        <f t="shared" si="62"/>
        <v>28768</v>
      </c>
      <c r="T84" s="171">
        <f t="shared" si="63"/>
        <v>9409.3771488888869</v>
      </c>
      <c r="U84" s="162" t="str">
        <f t="shared" si="64"/>
        <v/>
      </c>
      <c r="V84" s="148">
        <f t="shared" si="65"/>
        <v>-278568.26</v>
      </c>
      <c r="W84" s="152" t="str">
        <f t="shared" si="66"/>
        <v/>
      </c>
      <c r="X84" s="153" t="str">
        <f t="shared" si="67"/>
        <v/>
      </c>
      <c r="Y84" s="132" t="e">
        <f t="shared" si="72"/>
        <v>#VALUE!</v>
      </c>
      <c r="Z84" s="155">
        <f t="shared" si="69"/>
        <v>-4.7285497458949576E-2</v>
      </c>
      <c r="AA84" s="132">
        <f t="shared" si="70"/>
        <v>-467.00987344832902</v>
      </c>
      <c r="AB84" s="202">
        <f t="shared" si="71"/>
        <v>-381400</v>
      </c>
    </row>
    <row r="85" spans="1:28" ht="18" customHeight="1" x14ac:dyDescent="0.25">
      <c r="A85" s="138">
        <v>83</v>
      </c>
      <c r="B85" s="163" t="str">
        <f>Квар.реализация!B114</f>
        <v xml:space="preserve"> с. Языково</v>
      </c>
      <c r="C85" s="163" t="str">
        <f>Квар.реализация!C114</f>
        <v xml:space="preserve"> ул. Чапаева, д. 31</v>
      </c>
      <c r="D85" s="163">
        <f>Квар.реализация!J114</f>
        <v>49.5</v>
      </c>
      <c r="E85" s="166">
        <f>Квар.реализация!M114</f>
        <v>2016</v>
      </c>
      <c r="F85" s="166" t="s">
        <v>580</v>
      </c>
      <c r="G85" s="160">
        <v>1435500</v>
      </c>
      <c r="H85" s="161"/>
      <c r="I85" s="172">
        <f t="shared" si="54"/>
        <v>1435500</v>
      </c>
      <c r="J85" s="205">
        <f t="shared" si="55"/>
        <v>0</v>
      </c>
      <c r="K85" s="163">
        <f>Квар.реализация!O114</f>
        <v>1320168.26</v>
      </c>
      <c r="L85" s="160">
        <f t="shared" si="56"/>
        <v>115331.73999999999</v>
      </c>
      <c r="M85" s="163">
        <f>Квар.реализация!AD114</f>
        <v>1039500</v>
      </c>
      <c r="N85" s="160">
        <f t="shared" si="57"/>
        <v>21000</v>
      </c>
      <c r="O85" s="164">
        <f t="shared" si="58"/>
        <v>0.27586206896551724</v>
      </c>
      <c r="P85" s="164">
        <f t="shared" si="59"/>
        <v>0.21260036959228212</v>
      </c>
      <c r="Q85" s="143">
        <f t="shared" si="60"/>
        <v>1057000</v>
      </c>
      <c r="R85" s="160">
        <f t="shared" si="61"/>
        <v>9876.387022337216</v>
      </c>
      <c r="S85" s="160">
        <f t="shared" si="62"/>
        <v>28710</v>
      </c>
      <c r="T85" s="171">
        <f t="shared" si="63"/>
        <v>9393.06826</v>
      </c>
      <c r="U85" s="162" t="str">
        <f t="shared" si="64"/>
        <v/>
      </c>
      <c r="V85" s="148">
        <f t="shared" si="65"/>
        <v>-280668.26</v>
      </c>
      <c r="W85" s="152" t="str">
        <f t="shared" si="66"/>
        <v/>
      </c>
      <c r="X85" s="153" t="str">
        <f t="shared" si="67"/>
        <v/>
      </c>
      <c r="Y85" s="132" t="e">
        <f t="shared" si="72"/>
        <v>#VALUE!</v>
      </c>
      <c r="Z85" s="155">
        <f t="shared" si="69"/>
        <v>-4.8936798572605966E-2</v>
      </c>
      <c r="AA85" s="132">
        <f t="shared" si="70"/>
        <v>-483.31876233721596</v>
      </c>
      <c r="AB85" s="202">
        <f t="shared" si="71"/>
        <v>-378500</v>
      </c>
    </row>
    <row r="86" spans="1:28" ht="18" customHeight="1" x14ac:dyDescent="0.25">
      <c r="A86" s="138">
        <v>84</v>
      </c>
      <c r="B86" s="163" t="str">
        <f>Квар.реализация!B115</f>
        <v xml:space="preserve"> с. Языково</v>
      </c>
      <c r="C86" s="163" t="str">
        <f>Квар.реализация!C115</f>
        <v xml:space="preserve"> ул. Чапаева, д. 31</v>
      </c>
      <c r="D86" s="163">
        <f>Квар.реализация!J115</f>
        <v>66</v>
      </c>
      <c r="E86" s="166">
        <f>Квар.реализация!M115</f>
        <v>2016</v>
      </c>
      <c r="F86" s="166" t="s">
        <v>580</v>
      </c>
      <c r="G86" s="160">
        <v>1914000</v>
      </c>
      <c r="H86" s="161"/>
      <c r="I86" s="172">
        <f t="shared" si="54"/>
        <v>1914000</v>
      </c>
      <c r="J86" s="205">
        <f t="shared" si="55"/>
        <v>0</v>
      </c>
      <c r="K86" s="163">
        <f>Квар.реализация!O115</f>
        <v>1714744.44</v>
      </c>
      <c r="L86" s="160">
        <f t="shared" si="56"/>
        <v>199255.56000000006</v>
      </c>
      <c r="M86" s="163">
        <f>Квар.реализация!AD115</f>
        <v>1386000</v>
      </c>
      <c r="N86" s="160">
        <f t="shared" si="57"/>
        <v>21000</v>
      </c>
      <c r="O86" s="164">
        <f t="shared" si="58"/>
        <v>0.27586206896551724</v>
      </c>
      <c r="P86" s="164">
        <f t="shared" si="59"/>
        <v>0.19171628863832324</v>
      </c>
      <c r="Q86" s="143">
        <f t="shared" si="60"/>
        <v>1386000</v>
      </c>
      <c r="R86" s="160">
        <f t="shared" si="61"/>
        <v>12950.494241210388</v>
      </c>
      <c r="S86" s="160">
        <f t="shared" si="62"/>
        <v>38280</v>
      </c>
      <c r="T86" s="171">
        <f t="shared" si="63"/>
        <v>12478.611106666667</v>
      </c>
      <c r="U86" s="162" t="str">
        <f t="shared" si="64"/>
        <v/>
      </c>
      <c r="V86" s="148">
        <f t="shared" si="65"/>
        <v>-328744.43999999994</v>
      </c>
      <c r="W86" s="152" t="str">
        <f t="shared" si="66"/>
        <v/>
      </c>
      <c r="X86" s="153" t="str">
        <f t="shared" si="67"/>
        <v/>
      </c>
      <c r="Y86" s="132" t="e">
        <f t="shared" si="72"/>
        <v>#VALUE!</v>
      </c>
      <c r="Z86" s="155">
        <f t="shared" si="69"/>
        <v>-3.6437461440052159E-2</v>
      </c>
      <c r="AA86" s="132">
        <f t="shared" si="70"/>
        <v>-471.8831345437211</v>
      </c>
      <c r="AB86" s="202">
        <f t="shared" si="71"/>
        <v>-528000</v>
      </c>
    </row>
    <row r="87" spans="1:28" ht="18" customHeight="1" x14ac:dyDescent="0.25">
      <c r="A87" s="138">
        <v>85</v>
      </c>
      <c r="B87" s="163" t="str">
        <f>Квар.реализация!B116</f>
        <v xml:space="preserve"> с. Языково</v>
      </c>
      <c r="C87" s="163" t="str">
        <f>Квар.реализация!C116</f>
        <v xml:space="preserve"> ул. Чапаева, д. 31</v>
      </c>
      <c r="D87" s="163">
        <f>Квар.реализация!J116</f>
        <v>60.1</v>
      </c>
      <c r="E87" s="166">
        <f>Квар.реализация!M116</f>
        <v>2016</v>
      </c>
      <c r="F87" s="166" t="s">
        <v>580</v>
      </c>
      <c r="G87" s="160">
        <v>1742900</v>
      </c>
      <c r="H87" s="161"/>
      <c r="I87" s="172">
        <f t="shared" si="54"/>
        <v>1742900</v>
      </c>
      <c r="J87" s="205">
        <f t="shared" si="55"/>
        <v>0</v>
      </c>
      <c r="K87" s="163">
        <f>Квар.реализация!O116</f>
        <v>1661937.71</v>
      </c>
      <c r="L87" s="160">
        <f t="shared" si="56"/>
        <v>80962.290000000037</v>
      </c>
      <c r="M87" s="163">
        <f>Квар.реализация!AD116</f>
        <v>1262100</v>
      </c>
      <c r="N87" s="160">
        <f t="shared" si="57"/>
        <v>21000</v>
      </c>
      <c r="O87" s="164">
        <f t="shared" si="58"/>
        <v>0.27586206896551724</v>
      </c>
      <c r="P87" s="164">
        <f t="shared" si="59"/>
        <v>0.24058525635115408</v>
      </c>
      <c r="Q87" s="143">
        <f t="shared" si="60"/>
        <v>1330000</v>
      </c>
      <c r="R87" s="160">
        <f t="shared" si="61"/>
        <v>12427.241948636231</v>
      </c>
      <c r="S87" s="160">
        <f t="shared" si="62"/>
        <v>34858</v>
      </c>
      <c r="T87" s="171">
        <f t="shared" si="63"/>
        <v>11463.579932222223</v>
      </c>
      <c r="U87" s="162" t="str">
        <f t="shared" si="64"/>
        <v/>
      </c>
      <c r="V87" s="148">
        <f t="shared" si="65"/>
        <v>-399837.70999999996</v>
      </c>
      <c r="W87" s="152" t="str">
        <f t="shared" si="66"/>
        <v/>
      </c>
      <c r="X87" s="153" t="str">
        <f t="shared" si="67"/>
        <v/>
      </c>
      <c r="Y87" s="132" t="e">
        <f t="shared" si="72"/>
        <v>#VALUE!</v>
      </c>
      <c r="Z87" s="155">
        <f t="shared" si="69"/>
        <v>-7.7544319197853886E-2</v>
      </c>
      <c r="AA87" s="132">
        <f t="shared" si="70"/>
        <v>-963.66201641400767</v>
      </c>
      <c r="AB87" s="202">
        <f t="shared" si="71"/>
        <v>-412900</v>
      </c>
    </row>
    <row r="88" spans="1:28" ht="18" customHeight="1" x14ac:dyDescent="0.25">
      <c r="A88" s="138">
        <v>86</v>
      </c>
      <c r="B88" s="163" t="str">
        <f>Квар.реализация!B117</f>
        <v xml:space="preserve"> с. Языково</v>
      </c>
      <c r="C88" s="163" t="str">
        <f>Квар.реализация!C117</f>
        <v xml:space="preserve"> ул. Чапаева, д. 31</v>
      </c>
      <c r="D88" s="163">
        <f>Квар.реализация!J117</f>
        <v>50.2</v>
      </c>
      <c r="E88" s="166">
        <f>Квар.реализация!M117</f>
        <v>2016</v>
      </c>
      <c r="F88" s="166" t="s">
        <v>580</v>
      </c>
      <c r="G88" s="160">
        <v>1455800</v>
      </c>
      <c r="H88" s="161"/>
      <c r="I88" s="172">
        <f t="shared" si="54"/>
        <v>1455800</v>
      </c>
      <c r="J88" s="205">
        <f t="shared" si="55"/>
        <v>0</v>
      </c>
      <c r="K88" s="163">
        <f>Квар.реализация!O117</f>
        <v>1320168.26</v>
      </c>
      <c r="L88" s="160">
        <f t="shared" si="56"/>
        <v>135631.74</v>
      </c>
      <c r="M88" s="163">
        <f>Квар.реализация!AD117</f>
        <v>1054200</v>
      </c>
      <c r="N88" s="160">
        <f t="shared" si="57"/>
        <v>21000</v>
      </c>
      <c r="O88" s="164">
        <f t="shared" si="58"/>
        <v>0.27586206896551724</v>
      </c>
      <c r="P88" s="164">
        <f t="shared" si="59"/>
        <v>0.20146542532389017</v>
      </c>
      <c r="Q88" s="143">
        <f t="shared" si="60"/>
        <v>1057000</v>
      </c>
      <c r="R88" s="160">
        <f t="shared" si="61"/>
        <v>9876.387022337216</v>
      </c>
      <c r="S88" s="160">
        <f t="shared" si="62"/>
        <v>29116</v>
      </c>
      <c r="T88" s="171">
        <f t="shared" si="63"/>
        <v>9507.2304822222213</v>
      </c>
      <c r="U88" s="162" t="str">
        <f t="shared" si="64"/>
        <v/>
      </c>
      <c r="V88" s="148">
        <f t="shared" si="65"/>
        <v>-265968.26</v>
      </c>
      <c r="W88" s="152" t="str">
        <f t="shared" si="66"/>
        <v/>
      </c>
      <c r="X88" s="153" t="str">
        <f t="shared" si="67"/>
        <v/>
      </c>
      <c r="Y88" s="132" t="e">
        <f t="shared" si="72"/>
        <v>#VALUE!</v>
      </c>
      <c r="Z88" s="155">
        <f t="shared" si="69"/>
        <v>-3.7377690777009961E-2</v>
      </c>
      <c r="AA88" s="132">
        <f t="shared" si="70"/>
        <v>-369.15654011499464</v>
      </c>
      <c r="AB88" s="202">
        <f t="shared" si="71"/>
        <v>-398800</v>
      </c>
    </row>
    <row r="89" spans="1:28" ht="18" customHeight="1" x14ac:dyDescent="0.25">
      <c r="A89" s="138">
        <v>87</v>
      </c>
      <c r="B89" s="163" t="str">
        <f>Квар.реализация!B118</f>
        <v xml:space="preserve"> с. Языково</v>
      </c>
      <c r="C89" s="163" t="str">
        <f>Квар.реализация!C118</f>
        <v xml:space="preserve"> ул. Чапаева, д. 31</v>
      </c>
      <c r="D89" s="163">
        <f>Квар.реализация!J118</f>
        <v>60.1</v>
      </c>
      <c r="E89" s="166">
        <f>Квар.реализация!M118</f>
        <v>2016</v>
      </c>
      <c r="F89" s="166" t="s">
        <v>580</v>
      </c>
      <c r="G89" s="160">
        <v>1742900</v>
      </c>
      <c r="H89" s="161"/>
      <c r="I89" s="172">
        <f t="shared" si="54"/>
        <v>1742900</v>
      </c>
      <c r="J89" s="205">
        <f t="shared" si="55"/>
        <v>0</v>
      </c>
      <c r="K89" s="163">
        <f>Квар.реализация!O118</f>
        <v>1661937.71</v>
      </c>
      <c r="L89" s="160">
        <f t="shared" si="56"/>
        <v>80962.290000000037</v>
      </c>
      <c r="M89" s="163">
        <f>Квар.реализация!AD118</f>
        <v>1262100</v>
      </c>
      <c r="N89" s="160">
        <f t="shared" si="57"/>
        <v>21000</v>
      </c>
      <c r="O89" s="164">
        <f t="shared" si="58"/>
        <v>0.27586206896551724</v>
      </c>
      <c r="P89" s="164">
        <f t="shared" si="59"/>
        <v>0.24058525635115408</v>
      </c>
      <c r="Q89" s="143">
        <f t="shared" si="60"/>
        <v>1330000</v>
      </c>
      <c r="R89" s="160">
        <f t="shared" si="61"/>
        <v>12427.241948636231</v>
      </c>
      <c r="S89" s="160">
        <f t="shared" si="62"/>
        <v>34858</v>
      </c>
      <c r="T89" s="171">
        <f t="shared" si="63"/>
        <v>11463.579932222223</v>
      </c>
      <c r="U89" s="162" t="str">
        <f t="shared" si="64"/>
        <v/>
      </c>
      <c r="V89" s="148">
        <f t="shared" si="65"/>
        <v>-399837.70999999996</v>
      </c>
      <c r="W89" s="152" t="str">
        <f t="shared" si="66"/>
        <v/>
      </c>
      <c r="X89" s="153" t="str">
        <f t="shared" si="67"/>
        <v/>
      </c>
      <c r="Y89" s="132" t="e">
        <f t="shared" si="72"/>
        <v>#VALUE!</v>
      </c>
      <c r="Z89" s="155">
        <f t="shared" si="69"/>
        <v>-7.7544319197853886E-2</v>
      </c>
      <c r="AA89" s="132">
        <f t="shared" si="70"/>
        <v>-963.66201641400767</v>
      </c>
      <c r="AB89" s="202">
        <f t="shared" si="71"/>
        <v>-412900</v>
      </c>
    </row>
    <row r="90" spans="1:28" ht="12.75" customHeight="1" x14ac:dyDescent="0.25">
      <c r="A90" s="138">
        <v>88</v>
      </c>
      <c r="B90" s="163" t="str">
        <f>Квар.реализация!B119</f>
        <v xml:space="preserve"> с. Языково</v>
      </c>
      <c r="C90" s="163" t="str">
        <f>Квар.реализация!C119</f>
        <v xml:space="preserve"> ул. Чапаева, д. 31</v>
      </c>
      <c r="D90" s="163">
        <f>Квар.реализация!J119</f>
        <v>49.6</v>
      </c>
      <c r="E90" s="166">
        <f>Квар.реализация!M119</f>
        <v>2016</v>
      </c>
      <c r="F90" s="166" t="s">
        <v>580</v>
      </c>
      <c r="G90" s="160">
        <v>1438400</v>
      </c>
      <c r="H90" s="161"/>
      <c r="I90" s="172">
        <f t="shared" si="54"/>
        <v>1438400</v>
      </c>
      <c r="J90" s="205">
        <f t="shared" si="55"/>
        <v>0</v>
      </c>
      <c r="K90" s="163">
        <f>Квар.реализация!O119</f>
        <v>1392051.86</v>
      </c>
      <c r="L90" s="160">
        <f t="shared" si="56"/>
        <v>46348.139999999898</v>
      </c>
      <c r="M90" s="163">
        <f>Квар.реализация!AD119</f>
        <v>1041600</v>
      </c>
      <c r="N90" s="160">
        <f t="shared" si="57"/>
        <v>21000</v>
      </c>
      <c r="O90" s="164">
        <f t="shared" si="58"/>
        <v>0.27586206896551724</v>
      </c>
      <c r="P90" s="164">
        <f t="shared" si="59"/>
        <v>0.25175201446877138</v>
      </c>
      <c r="Q90" s="143">
        <f t="shared" si="60"/>
        <v>1114000</v>
      </c>
      <c r="R90" s="160">
        <f t="shared" si="61"/>
        <v>10408.983105850197</v>
      </c>
      <c r="S90" s="160">
        <f t="shared" si="62"/>
        <v>28768</v>
      </c>
      <c r="T90" s="171">
        <f t="shared" si="63"/>
        <v>9481.260748888888</v>
      </c>
      <c r="U90" s="162" t="str">
        <f t="shared" si="64"/>
        <v/>
      </c>
      <c r="V90" s="148">
        <f t="shared" si="65"/>
        <v>-350451.8600000001</v>
      </c>
      <c r="W90" s="152" t="str">
        <f t="shared" si="66"/>
        <v/>
      </c>
      <c r="X90" s="153" t="str">
        <f t="shared" si="67"/>
        <v/>
      </c>
      <c r="Y90" s="132" t="e">
        <f t="shared" si="72"/>
        <v>#VALUE!</v>
      </c>
      <c r="Z90" s="155">
        <f t="shared" si="69"/>
        <v>-8.9127088355047651E-2</v>
      </c>
      <c r="AA90" s="132">
        <f t="shared" si="70"/>
        <v>-927.72235696130883</v>
      </c>
      <c r="AB90" s="202">
        <f t="shared" si="71"/>
        <v>-324400</v>
      </c>
    </row>
    <row r="91" spans="1:28" ht="18" customHeight="1" x14ac:dyDescent="0.25">
      <c r="A91" s="138">
        <v>89</v>
      </c>
      <c r="B91" s="163" t="str">
        <f>Квар.реализация!B42</f>
        <v xml:space="preserve"> с. Языково, ул. Чапаева, д. 29</v>
      </c>
      <c r="C91" s="163" t="str">
        <f>Квар.реализация!C42</f>
        <v xml:space="preserve"> ул. Чапаева, д. 29</v>
      </c>
      <c r="D91" s="163">
        <f>Квар.реализация!J42</f>
        <v>48.3</v>
      </c>
      <c r="E91" s="166">
        <f>Квар.реализация!M42</f>
        <v>2015</v>
      </c>
      <c r="F91" s="166"/>
      <c r="G91" s="160">
        <v>1352400</v>
      </c>
      <c r="H91" s="161"/>
      <c r="I91" s="172">
        <f t="shared" si="54"/>
        <v>1352400</v>
      </c>
      <c r="J91" s="176">
        <f t="shared" si="55"/>
        <v>0</v>
      </c>
      <c r="K91" s="163">
        <f>Квар.реализация!O42</f>
        <v>1278567.45</v>
      </c>
      <c r="L91" s="160">
        <f t="shared" si="56"/>
        <v>73832.550000000047</v>
      </c>
      <c r="M91" s="163">
        <f>Квар.реализация!AD42</f>
        <v>966000</v>
      </c>
      <c r="N91" s="160">
        <f t="shared" si="57"/>
        <v>20000</v>
      </c>
      <c r="O91" s="164">
        <f t="shared" si="58"/>
        <v>0.2857142857142857</v>
      </c>
      <c r="P91" s="164">
        <f t="shared" si="59"/>
        <v>0.2444669227266813</v>
      </c>
      <c r="Q91" s="143">
        <f t="shared" si="60"/>
        <v>1023000</v>
      </c>
      <c r="R91" s="160">
        <f t="shared" si="61"/>
        <v>9558.6981304171895</v>
      </c>
      <c r="S91" s="160">
        <f t="shared" si="62"/>
        <v>27048</v>
      </c>
      <c r="T91" s="171">
        <f t="shared" si="63"/>
        <v>8892.794116666666</v>
      </c>
      <c r="U91" s="162" t="str">
        <f t="shared" si="64"/>
        <v/>
      </c>
      <c r="V91" s="148">
        <f t="shared" si="65"/>
        <v>-312567.44999999995</v>
      </c>
      <c r="W91" s="152" t="str">
        <f t="shared" si="66"/>
        <v/>
      </c>
      <c r="X91" s="153" t="str">
        <f t="shared" si="67"/>
        <v/>
      </c>
      <c r="Y91" s="132" t="e">
        <f t="shared" si="72"/>
        <v>#VALUE!</v>
      </c>
      <c r="Z91" s="155">
        <f t="shared" si="69"/>
        <v>-6.9664718423476366E-2</v>
      </c>
      <c r="AA91" s="132">
        <f t="shared" si="70"/>
        <v>-665.90401375052352</v>
      </c>
      <c r="AB91" s="202">
        <f t="shared" si="71"/>
        <v>-329400</v>
      </c>
    </row>
    <row r="92" spans="1:28" ht="18" customHeight="1" x14ac:dyDescent="0.25">
      <c r="A92" s="138">
        <v>90</v>
      </c>
      <c r="B92" s="163" t="str">
        <f>Квар.реализация!B71</f>
        <v xml:space="preserve"> с.Буздяк </v>
      </c>
      <c r="C92" s="163" t="str">
        <f>Квар.реализация!C71</f>
        <v xml:space="preserve"> жилой дом №26/1 по ул.Уртакульская</v>
      </c>
      <c r="D92" s="163">
        <f>Квар.реализация!J71</f>
        <v>60.2</v>
      </c>
      <c r="E92" s="166">
        <f>Квар.реализация!M71</f>
        <v>2016</v>
      </c>
      <c r="F92" s="166" t="s">
        <v>581</v>
      </c>
      <c r="G92" s="160">
        <v>1655500</v>
      </c>
      <c r="H92" s="161"/>
      <c r="I92" s="172">
        <f t="shared" si="54"/>
        <v>1655500</v>
      </c>
      <c r="J92" s="205">
        <f t="shared" si="55"/>
        <v>0</v>
      </c>
      <c r="K92" s="163">
        <f>Квар.реализация!O71</f>
        <v>1640413.91</v>
      </c>
      <c r="L92" s="160">
        <f t="shared" si="56"/>
        <v>15086.090000000084</v>
      </c>
      <c r="M92" s="163">
        <f>Квар.реализация!AD71</f>
        <v>1324400</v>
      </c>
      <c r="N92" s="160">
        <f t="shared" si="57"/>
        <v>22000</v>
      </c>
      <c r="O92" s="164">
        <f t="shared" si="58"/>
        <v>0.2</v>
      </c>
      <c r="P92" s="164">
        <f t="shared" si="59"/>
        <v>0.19264278855084807</v>
      </c>
      <c r="Q92" s="143">
        <f t="shared" si="60"/>
        <v>1324400</v>
      </c>
      <c r="R92" s="160">
        <f t="shared" si="61"/>
        <v>12374.916719378814</v>
      </c>
      <c r="S92" s="160">
        <f t="shared" si="62"/>
        <v>33110</v>
      </c>
      <c r="T92" s="171">
        <f t="shared" si="63"/>
        <v>10966.731687777778</v>
      </c>
      <c r="U92" s="162" t="str">
        <f t="shared" si="64"/>
        <v/>
      </c>
      <c r="V92" s="148">
        <f t="shared" si="65"/>
        <v>-316013.90999999992</v>
      </c>
      <c r="W92" s="152" t="str">
        <f t="shared" si="66"/>
        <v/>
      </c>
      <c r="X92" s="153" t="str">
        <f t="shared" si="67"/>
        <v/>
      </c>
      <c r="Y92" s="132" t="e">
        <f>W92-K92</f>
        <v>#VALUE!</v>
      </c>
      <c r="Z92" s="155">
        <f t="shared" si="69"/>
        <v>-0.11379349562780118</v>
      </c>
      <c r="AA92" s="132">
        <f t="shared" si="70"/>
        <v>-1408.1850316010368</v>
      </c>
      <c r="AB92" s="202">
        <f t="shared" si="71"/>
        <v>-331100</v>
      </c>
    </row>
    <row r="93" spans="1:28" ht="18" customHeight="1" x14ac:dyDescent="0.25">
      <c r="A93" s="138">
        <v>91</v>
      </c>
      <c r="B93" s="163" t="str">
        <f>Квар.реализация!B60</f>
        <v>г. Белебей</v>
      </c>
      <c r="C93" s="163" t="str">
        <f>Квар.реализация!C60</f>
        <v>ул. Пролетарская, д. 66/9</v>
      </c>
      <c r="D93" s="163">
        <f>Квар.реализация!J60</f>
        <v>47.6</v>
      </c>
      <c r="E93" s="166">
        <f>Квар.реализация!M60</f>
        <v>2015</v>
      </c>
      <c r="F93" s="166" t="s">
        <v>581</v>
      </c>
      <c r="G93" s="160">
        <v>1475600</v>
      </c>
      <c r="H93" s="161"/>
      <c r="I93" s="172">
        <f t="shared" si="54"/>
        <v>1475600</v>
      </c>
      <c r="J93" s="205">
        <f t="shared" si="55"/>
        <v>0</v>
      </c>
      <c r="K93" s="163">
        <f>Квар.реализация!O60</f>
        <v>1299717.3</v>
      </c>
      <c r="L93" s="160">
        <f t="shared" si="56"/>
        <v>175882.69999999995</v>
      </c>
      <c r="M93" s="163">
        <f>Квар.реализация!AD60</f>
        <v>999600</v>
      </c>
      <c r="N93" s="160">
        <f t="shared" si="57"/>
        <v>21000</v>
      </c>
      <c r="O93" s="164">
        <f t="shared" si="58"/>
        <v>0.32258064516129031</v>
      </c>
      <c r="P93" s="164">
        <f t="shared" si="59"/>
        <v>0.23090967551174402</v>
      </c>
      <c r="Q93" s="143">
        <f t="shared" si="60"/>
        <v>1040000</v>
      </c>
      <c r="R93" s="160">
        <f t="shared" si="61"/>
        <v>9717.5425763772037</v>
      </c>
      <c r="S93" s="160">
        <f t="shared" si="62"/>
        <v>29512</v>
      </c>
      <c r="T93" s="171">
        <f t="shared" si="63"/>
        <v>9581.0595222222219</v>
      </c>
      <c r="U93" s="162" t="str">
        <f t="shared" si="64"/>
        <v/>
      </c>
      <c r="V93" s="148">
        <f t="shared" si="65"/>
        <v>-300117.30000000005</v>
      </c>
      <c r="W93" s="152" t="str">
        <f t="shared" si="66"/>
        <v/>
      </c>
      <c r="X93" s="153" t="str">
        <f t="shared" si="67"/>
        <v/>
      </c>
      <c r="Y93" s="132" t="e">
        <f t="shared" ref="Y93:Y99" si="73">W93-K93</f>
        <v>#VALUE!</v>
      </c>
      <c r="Z93" s="155">
        <f t="shared" si="69"/>
        <v>-1.4045017357244659E-2</v>
      </c>
      <c r="AA93" s="132">
        <f t="shared" si="70"/>
        <v>-136.4830541549818</v>
      </c>
      <c r="AB93" s="202">
        <f t="shared" si="71"/>
        <v>-435600</v>
      </c>
    </row>
    <row r="94" spans="1:28" ht="18" customHeight="1" x14ac:dyDescent="0.25">
      <c r="A94" s="138">
        <v>92</v>
      </c>
      <c r="B94" s="163" t="str">
        <f>Квар.реализация!B61</f>
        <v>г. Белебей</v>
      </c>
      <c r="C94" s="163" t="str">
        <f>Квар.реализация!C61</f>
        <v>ул. Пролетарская, д. 66/9</v>
      </c>
      <c r="D94" s="163">
        <f>Квар.реализация!J61</f>
        <v>47.9</v>
      </c>
      <c r="E94" s="166">
        <f>Квар.реализация!M61</f>
        <v>2015</v>
      </c>
      <c r="F94" s="166" t="s">
        <v>581</v>
      </c>
      <c r="G94" s="160">
        <v>1484900</v>
      </c>
      <c r="H94" s="161"/>
      <c r="I94" s="172">
        <f t="shared" si="54"/>
        <v>1484900</v>
      </c>
      <c r="J94" s="205">
        <f t="shared" si="55"/>
        <v>0</v>
      </c>
      <c r="K94" s="163">
        <f>Квар.реализация!O61</f>
        <v>1299717.3</v>
      </c>
      <c r="L94" s="160">
        <f t="shared" si="56"/>
        <v>185182.69999999995</v>
      </c>
      <c r="M94" s="163">
        <f>Квар.реализация!AD61</f>
        <v>1005900</v>
      </c>
      <c r="N94" s="160">
        <f t="shared" si="57"/>
        <v>21000</v>
      </c>
      <c r="O94" s="164">
        <f t="shared" si="58"/>
        <v>0.32258064516129031</v>
      </c>
      <c r="P94" s="164">
        <f t="shared" si="59"/>
        <v>0.22606246758429702</v>
      </c>
      <c r="Q94" s="143">
        <f t="shared" si="60"/>
        <v>1040000</v>
      </c>
      <c r="R94" s="160">
        <f t="shared" si="61"/>
        <v>9717.5425763772037</v>
      </c>
      <c r="S94" s="160">
        <f t="shared" si="62"/>
        <v>29698</v>
      </c>
      <c r="T94" s="171">
        <f t="shared" si="63"/>
        <v>9633.2528555555546</v>
      </c>
      <c r="U94" s="162" t="str">
        <f t="shared" si="64"/>
        <v/>
      </c>
      <c r="V94" s="148">
        <f t="shared" si="65"/>
        <v>-293817.30000000005</v>
      </c>
      <c r="W94" s="152" t="str">
        <f t="shared" si="66"/>
        <v/>
      </c>
      <c r="X94" s="153" t="str">
        <f t="shared" si="67"/>
        <v/>
      </c>
      <c r="Y94" s="132" t="e">
        <f t="shared" si="73"/>
        <v>#VALUE!</v>
      </c>
      <c r="Z94" s="155">
        <f t="shared" si="69"/>
        <v>-8.673974943680992E-3</v>
      </c>
      <c r="AA94" s="132">
        <f t="shared" si="70"/>
        <v>-84.289720821649098</v>
      </c>
      <c r="AB94" s="202">
        <f t="shared" si="71"/>
        <v>-444900</v>
      </c>
    </row>
    <row r="95" spans="1:28" ht="18" customHeight="1" x14ac:dyDescent="0.25">
      <c r="A95" s="138">
        <v>93</v>
      </c>
      <c r="B95" s="163" t="str">
        <f>Квар.реализация!B62</f>
        <v>г. Белебей</v>
      </c>
      <c r="C95" s="163" t="str">
        <f>Квар.реализация!C62</f>
        <v>ул. Пролетарская, д. 66/9</v>
      </c>
      <c r="D95" s="163">
        <f>Квар.реализация!J62</f>
        <v>47.2</v>
      </c>
      <c r="E95" s="166">
        <f>Квар.реализация!M62</f>
        <v>2015</v>
      </c>
      <c r="F95" s="166" t="s">
        <v>581</v>
      </c>
      <c r="G95" s="160">
        <v>1463200</v>
      </c>
      <c r="H95" s="161"/>
      <c r="I95" s="172">
        <f t="shared" si="54"/>
        <v>1463200</v>
      </c>
      <c r="J95" s="205">
        <f t="shared" si="55"/>
        <v>0</v>
      </c>
      <c r="K95" s="163">
        <f>Квар.реализация!O62</f>
        <v>1299717.3</v>
      </c>
      <c r="L95" s="160">
        <f t="shared" si="56"/>
        <v>163482.69999999995</v>
      </c>
      <c r="M95" s="163">
        <f>Квар.реализация!AD62</f>
        <v>991200.00000000012</v>
      </c>
      <c r="N95" s="160">
        <f t="shared" si="57"/>
        <v>21000</v>
      </c>
      <c r="O95" s="164">
        <f t="shared" si="58"/>
        <v>0.32258064516129026</v>
      </c>
      <c r="P95" s="164">
        <f t="shared" si="59"/>
        <v>0.23737261941500656</v>
      </c>
      <c r="Q95" s="143">
        <f t="shared" si="60"/>
        <v>1040000</v>
      </c>
      <c r="R95" s="160">
        <f t="shared" si="61"/>
        <v>9717.5425763772037</v>
      </c>
      <c r="S95" s="160">
        <f t="shared" si="62"/>
        <v>29264</v>
      </c>
      <c r="T95" s="171">
        <f t="shared" si="63"/>
        <v>9511.468411111111</v>
      </c>
      <c r="U95" s="162" t="str">
        <f t="shared" si="64"/>
        <v/>
      </c>
      <c r="V95" s="148">
        <f t="shared" si="65"/>
        <v>-308517.29999999993</v>
      </c>
      <c r="W95" s="152" t="str">
        <f t="shared" si="66"/>
        <v/>
      </c>
      <c r="X95" s="153" t="str">
        <f t="shared" si="67"/>
        <v/>
      </c>
      <c r="Y95" s="132" t="e">
        <f t="shared" si="73"/>
        <v>#VALUE!</v>
      </c>
      <c r="Z95" s="155">
        <f t="shared" si="69"/>
        <v>-2.1206407241996277E-2</v>
      </c>
      <c r="AA95" s="132">
        <f t="shared" si="70"/>
        <v>-206.07416526609268</v>
      </c>
      <c r="AB95" s="202">
        <f t="shared" si="71"/>
        <v>-423200</v>
      </c>
    </row>
    <row r="96" spans="1:28" ht="18" customHeight="1" x14ac:dyDescent="0.25">
      <c r="A96" s="138">
        <v>94</v>
      </c>
      <c r="B96" s="163" t="str">
        <f>Квар.реализация!B63</f>
        <v>г. Белебей</v>
      </c>
      <c r="C96" s="163" t="str">
        <f>Квар.реализация!C63</f>
        <v>ул. Пролетарская, д. 66/9</v>
      </c>
      <c r="D96" s="163">
        <f>Квар.реализация!J63</f>
        <v>47.6</v>
      </c>
      <c r="E96" s="166">
        <f>Квар.реализация!M63</f>
        <v>2015</v>
      </c>
      <c r="F96" s="166" t="s">
        <v>581</v>
      </c>
      <c r="G96" s="160">
        <v>1475600</v>
      </c>
      <c r="H96" s="161"/>
      <c r="I96" s="172">
        <f t="shared" si="54"/>
        <v>1475600</v>
      </c>
      <c r="J96" s="205">
        <f t="shared" si="55"/>
        <v>0</v>
      </c>
      <c r="K96" s="163">
        <f>Квар.реализация!O63</f>
        <v>1299717.3</v>
      </c>
      <c r="L96" s="160">
        <f t="shared" si="56"/>
        <v>175882.69999999995</v>
      </c>
      <c r="M96" s="163">
        <f>Квар.реализация!AD63</f>
        <v>1094800</v>
      </c>
      <c r="N96" s="160">
        <f t="shared" si="57"/>
        <v>23000</v>
      </c>
      <c r="O96" s="164">
        <f t="shared" si="58"/>
        <v>0.25806451612903225</v>
      </c>
      <c r="P96" s="164">
        <f t="shared" si="59"/>
        <v>0.15766297794143391</v>
      </c>
      <c r="Q96" s="143">
        <f t="shared" si="60"/>
        <v>1094800</v>
      </c>
      <c r="R96" s="160">
        <f t="shared" si="61"/>
        <v>10229.582319824771</v>
      </c>
      <c r="S96" s="160">
        <f t="shared" si="62"/>
        <v>29512</v>
      </c>
      <c r="T96" s="171">
        <f t="shared" si="63"/>
        <v>9581.0595222222219</v>
      </c>
      <c r="U96" s="162" t="str">
        <f t="shared" si="64"/>
        <v/>
      </c>
      <c r="V96" s="148">
        <f t="shared" si="65"/>
        <v>-204917.30000000005</v>
      </c>
      <c r="W96" s="152" t="str">
        <f t="shared" si="66"/>
        <v/>
      </c>
      <c r="X96" s="153" t="str">
        <f t="shared" si="67"/>
        <v/>
      </c>
      <c r="Y96" s="132" t="e">
        <f t="shared" si="73"/>
        <v>#VALUE!</v>
      </c>
      <c r="Z96" s="155">
        <f t="shared" si="69"/>
        <v>-6.3396801289307955E-2</v>
      </c>
      <c r="AA96" s="132">
        <f t="shared" si="70"/>
        <v>-648.52279760254896</v>
      </c>
      <c r="AB96" s="202">
        <f t="shared" si="71"/>
        <v>-380800</v>
      </c>
    </row>
    <row r="97" spans="1:28" ht="18" customHeight="1" x14ac:dyDescent="0.25">
      <c r="A97" s="138">
        <v>95</v>
      </c>
      <c r="B97" s="163" t="str">
        <f>Квар.реализация!B64</f>
        <v>г. Белебей</v>
      </c>
      <c r="C97" s="163" t="str">
        <f>Квар.реализация!C64</f>
        <v>ул. Пролетарская, д. 66/9</v>
      </c>
      <c r="D97" s="163">
        <f>Квар.реализация!J64</f>
        <v>32.200000000000003</v>
      </c>
      <c r="E97" s="166">
        <f>Квар.реализация!M64</f>
        <v>2015</v>
      </c>
      <c r="F97" s="166" t="s">
        <v>581</v>
      </c>
      <c r="G97" s="160">
        <v>998200.00000000012</v>
      </c>
      <c r="H97" s="161"/>
      <c r="I97" s="172">
        <f t="shared" si="54"/>
        <v>998200.00000000012</v>
      </c>
      <c r="J97" s="205">
        <f t="shared" si="55"/>
        <v>0</v>
      </c>
      <c r="K97" s="163">
        <f>Квар.реализация!O64</f>
        <v>887639.64</v>
      </c>
      <c r="L97" s="160">
        <f t="shared" si="56"/>
        <v>110560.3600000001</v>
      </c>
      <c r="M97" s="163">
        <f>Квар.реализация!AD64</f>
        <v>740600.00000000012</v>
      </c>
      <c r="N97" s="160">
        <f t="shared" si="57"/>
        <v>23000</v>
      </c>
      <c r="O97" s="164">
        <f t="shared" si="58"/>
        <v>0.25806451612903225</v>
      </c>
      <c r="P97" s="164">
        <f t="shared" si="59"/>
        <v>0.16565240371644499</v>
      </c>
      <c r="Q97" s="143">
        <f t="shared" si="60"/>
        <v>740600.00000000012</v>
      </c>
      <c r="R97" s="160">
        <f t="shared" si="61"/>
        <v>6920.0115692932286</v>
      </c>
      <c r="S97" s="160">
        <f t="shared" si="62"/>
        <v>19964.000000000004</v>
      </c>
      <c r="T97" s="171">
        <f t="shared" si="63"/>
        <v>6489.7240844444441</v>
      </c>
      <c r="U97" s="162" t="str">
        <f t="shared" si="64"/>
        <v/>
      </c>
      <c r="V97" s="148">
        <f t="shared" si="65"/>
        <v>-147039.6399999999</v>
      </c>
      <c r="W97" s="152" t="str">
        <f t="shared" si="66"/>
        <v/>
      </c>
      <c r="X97" s="153" t="str">
        <f t="shared" si="67"/>
        <v/>
      </c>
      <c r="Y97" s="132" t="e">
        <f t="shared" si="73"/>
        <v>#VALUE!</v>
      </c>
      <c r="Z97" s="155">
        <f t="shared" si="69"/>
        <v>-6.218016842025767E-2</v>
      </c>
      <c r="AA97" s="132">
        <f t="shared" si="70"/>
        <v>-430.28748484878452</v>
      </c>
      <c r="AB97" s="202">
        <f t="shared" si="71"/>
        <v>-257600</v>
      </c>
    </row>
    <row r="98" spans="1:28" ht="18" customHeight="1" x14ac:dyDescent="0.25">
      <c r="A98" s="138">
        <v>96</v>
      </c>
      <c r="B98" s="163" t="str">
        <f>Квар.реализация!B65</f>
        <v>г. Белебей</v>
      </c>
      <c r="C98" s="163" t="str">
        <f>Квар.реализация!C65</f>
        <v>ул. Пролетарская, д. 66/9</v>
      </c>
      <c r="D98" s="163">
        <f>Квар.реализация!J65</f>
        <v>35.5</v>
      </c>
      <c r="E98" s="166">
        <f>Квар.реализация!M65</f>
        <v>2015</v>
      </c>
      <c r="F98" s="166" t="s">
        <v>581</v>
      </c>
      <c r="G98" s="160">
        <v>1100500</v>
      </c>
      <c r="H98" s="161"/>
      <c r="I98" s="172">
        <f t="shared" si="54"/>
        <v>1100500</v>
      </c>
      <c r="J98" s="205">
        <f t="shared" si="55"/>
        <v>0</v>
      </c>
      <c r="K98" s="163">
        <f>Квар.реализация!O65</f>
        <v>970608.3</v>
      </c>
      <c r="L98" s="160">
        <f t="shared" si="56"/>
        <v>129891.69999999995</v>
      </c>
      <c r="M98" s="163">
        <f>Квар.реализация!AD65</f>
        <v>816500</v>
      </c>
      <c r="N98" s="160">
        <f t="shared" si="57"/>
        <v>23000</v>
      </c>
      <c r="O98" s="164">
        <f t="shared" si="58"/>
        <v>0.25806451612903225</v>
      </c>
      <c r="P98" s="164">
        <f t="shared" si="59"/>
        <v>0.15877496617327508</v>
      </c>
      <c r="Q98" s="143">
        <f t="shared" si="60"/>
        <v>816500</v>
      </c>
      <c r="R98" s="160">
        <f t="shared" si="61"/>
        <v>7629.2053015499869</v>
      </c>
      <c r="S98" s="160">
        <f t="shared" si="62"/>
        <v>22010</v>
      </c>
      <c r="T98" s="171">
        <f t="shared" si="63"/>
        <v>7146.8194111111125</v>
      </c>
      <c r="U98" s="162" t="str">
        <f t="shared" si="64"/>
        <v/>
      </c>
      <c r="V98" s="148">
        <f t="shared" si="65"/>
        <v>-154108.30000000005</v>
      </c>
      <c r="W98" s="152" t="str">
        <f t="shared" si="66"/>
        <v/>
      </c>
      <c r="X98" s="153" t="str">
        <f t="shared" si="67"/>
        <v/>
      </c>
      <c r="Y98" s="132" t="e">
        <f t="shared" si="73"/>
        <v>#VALUE!</v>
      </c>
      <c r="Z98" s="155">
        <f t="shared" si="69"/>
        <v>-6.3228851678807291E-2</v>
      </c>
      <c r="AA98" s="132">
        <f t="shared" si="70"/>
        <v>-482.38589043887441</v>
      </c>
      <c r="AB98" s="202">
        <f t="shared" si="71"/>
        <v>-284000</v>
      </c>
    </row>
    <row r="99" spans="1:28" ht="18" customHeight="1" x14ac:dyDescent="0.25">
      <c r="A99" s="138">
        <v>97</v>
      </c>
      <c r="B99" s="163" t="str">
        <f>Квар.реализация!B66</f>
        <v>г. Белебей</v>
      </c>
      <c r="C99" s="163" t="str">
        <f>Квар.реализация!C66</f>
        <v>ул. Пролетарская, д. 66/9</v>
      </c>
      <c r="D99" s="163">
        <f>Квар.реализация!J66</f>
        <v>34.299999999999997</v>
      </c>
      <c r="E99" s="166">
        <f>Квар.реализация!M66</f>
        <v>2015</v>
      </c>
      <c r="F99" s="166" t="s">
        <v>581</v>
      </c>
      <c r="G99" s="160">
        <v>1063300</v>
      </c>
      <c r="H99" s="161"/>
      <c r="I99" s="172">
        <f t="shared" si="54"/>
        <v>1063300</v>
      </c>
      <c r="J99" s="205">
        <f t="shared" si="55"/>
        <v>0</v>
      </c>
      <c r="K99" s="163">
        <f>Квар.реализация!O66</f>
        <v>937420.79</v>
      </c>
      <c r="L99" s="160">
        <f t="shared" si="56"/>
        <v>125879.20999999996</v>
      </c>
      <c r="M99" s="163">
        <f>Квар.реализация!AD66</f>
        <v>788899.99999999988</v>
      </c>
      <c r="N99" s="160">
        <f t="shared" si="57"/>
        <v>23000</v>
      </c>
      <c r="O99" s="164">
        <f t="shared" si="58"/>
        <v>0.25806451612903236</v>
      </c>
      <c r="P99" s="164">
        <f t="shared" si="59"/>
        <v>0.15843556232628481</v>
      </c>
      <c r="Q99" s="143">
        <f t="shared" si="60"/>
        <v>788899.99999999988</v>
      </c>
      <c r="R99" s="160">
        <f t="shared" si="61"/>
        <v>7371.3166716384367</v>
      </c>
      <c r="S99" s="160">
        <f t="shared" si="62"/>
        <v>21266</v>
      </c>
      <c r="T99" s="171">
        <f t="shared" si="63"/>
        <v>6904.8585677777783</v>
      </c>
      <c r="U99" s="162" t="str">
        <f t="shared" si="64"/>
        <v/>
      </c>
      <c r="V99" s="148">
        <f t="shared" si="65"/>
        <v>-148520.79000000015</v>
      </c>
      <c r="W99" s="152" t="str">
        <f t="shared" si="66"/>
        <v/>
      </c>
      <c r="X99" s="153" t="str">
        <f t="shared" si="67"/>
        <v/>
      </c>
      <c r="Y99" s="132" t="e">
        <f t="shared" si="73"/>
        <v>#VALUE!</v>
      </c>
      <c r="Z99" s="155">
        <f t="shared" si="69"/>
        <v>-6.328016074189062E-2</v>
      </c>
      <c r="AA99" s="132">
        <f t="shared" si="70"/>
        <v>-466.45810386065841</v>
      </c>
      <c r="AB99" s="202">
        <f t="shared" si="71"/>
        <v>-274400.00000000012</v>
      </c>
    </row>
    <row r="100" spans="1:28" ht="18" customHeight="1" x14ac:dyDescent="0.25">
      <c r="A100" s="138">
        <v>98</v>
      </c>
      <c r="B100" s="163" t="str">
        <f>Квар.реализация!B93</f>
        <v>с. Караидель</v>
      </c>
      <c r="C100" s="163" t="str">
        <f>Квар.реализация!C93</f>
        <v>ул. Мира, д. 15</v>
      </c>
      <c r="D100" s="163">
        <f>Квар.реализация!J93</f>
        <v>31.4</v>
      </c>
      <c r="E100" s="166">
        <f>Квар.реализация!M93</f>
        <v>2016</v>
      </c>
      <c r="F100" s="166"/>
      <c r="G100" s="160">
        <v>920020</v>
      </c>
      <c r="H100" s="161"/>
      <c r="I100" s="172">
        <f t="shared" si="54"/>
        <v>920020</v>
      </c>
      <c r="J100" s="163">
        <f t="shared" si="55"/>
        <v>-3171.3999999999069</v>
      </c>
      <c r="K100" s="163">
        <f>Квар.реализация!O93</f>
        <v>923191.39999999991</v>
      </c>
      <c r="L100" s="160">
        <f t="shared" si="56"/>
        <v>-3171.3999999999069</v>
      </c>
      <c r="M100" s="163">
        <f>Квар.реализация!AD93</f>
        <v>847800</v>
      </c>
      <c r="N100" s="160">
        <f t="shared" si="57"/>
        <v>27000</v>
      </c>
      <c r="O100" s="164">
        <f t="shared" si="58"/>
        <v>7.8498293515358364E-2</v>
      </c>
      <c r="P100" s="164">
        <f t="shared" si="59"/>
        <v>8.1663888983367822E-2</v>
      </c>
      <c r="Q100" s="143">
        <f t="shared" si="60"/>
        <v>847800</v>
      </c>
      <c r="R100" s="160">
        <f t="shared" si="61"/>
        <v>7921.6659579351854</v>
      </c>
      <c r="S100" s="160">
        <f t="shared" si="62"/>
        <v>18400.400000000001</v>
      </c>
      <c r="T100" s="171">
        <f t="shared" si="63"/>
        <v>6095.4691777777771</v>
      </c>
      <c r="U100" s="162" t="str">
        <f t="shared" si="64"/>
        <v/>
      </c>
      <c r="V100" s="148">
        <f t="shared" si="65"/>
        <v>-75391.399999999907</v>
      </c>
      <c r="W100" s="152" t="str">
        <f t="shared" si="66"/>
        <v/>
      </c>
      <c r="X100" s="153" t="str">
        <f t="shared" si="67"/>
        <v/>
      </c>
      <c r="Y100" s="132">
        <v>0</v>
      </c>
      <c r="Z100" s="155">
        <f t="shared" si="69"/>
        <v>-0.23053190955724343</v>
      </c>
      <c r="AA100" s="132">
        <f t="shared" si="70"/>
        <v>-1826.1967801574083</v>
      </c>
      <c r="AB100" s="202">
        <f t="shared" si="71"/>
        <v>-72220</v>
      </c>
    </row>
    <row r="101" spans="1:28" ht="18" customHeight="1" x14ac:dyDescent="0.25">
      <c r="A101" s="138">
        <v>99</v>
      </c>
      <c r="B101" s="163" t="str">
        <f>Квар.реализация!B20</f>
        <v>с. Красноусольский</v>
      </c>
      <c r="C101" s="163" t="str">
        <f>Квар.реализация!C20</f>
        <v>ул. Свердлова, д. 130/3</v>
      </c>
      <c r="D101" s="163">
        <f>Квар.реализация!J20</f>
        <v>46.9</v>
      </c>
      <c r="E101" s="166">
        <f>Квар.реализация!M20</f>
        <v>2014</v>
      </c>
      <c r="F101" s="166"/>
      <c r="G101" s="160">
        <v>1219400</v>
      </c>
      <c r="H101" s="161"/>
      <c r="I101" s="172">
        <f t="shared" ref="I101:I111" si="74">G101-G101*H101</f>
        <v>1219400</v>
      </c>
      <c r="J101" s="175">
        <f t="shared" ref="J101:J111" si="75">IF(I101-K101&lt;0,I101-K101,0)</f>
        <v>0</v>
      </c>
      <c r="K101" s="163">
        <f>Квар.реализация!O20</f>
        <v>1103458.81</v>
      </c>
      <c r="L101" s="160">
        <f t="shared" ref="L101:L111" si="76">I101-K101</f>
        <v>115941.18999999994</v>
      </c>
      <c r="M101" s="163">
        <f>Квар.реализация!AD20</f>
        <v>961450</v>
      </c>
      <c r="N101" s="160">
        <f t="shared" ref="N101:N111" si="77">M101/D101</f>
        <v>20500</v>
      </c>
      <c r="O101" s="164">
        <f t="shared" ref="O101:O111" si="78">(I101-M101)/I101</f>
        <v>0.21153846153846154</v>
      </c>
      <c r="P101" s="164">
        <f t="shared" ref="P101:P111" si="79">(K101-M101)/K101</f>
        <v>0.12869425547474678</v>
      </c>
      <c r="Q101" s="143">
        <f t="shared" ref="Q101:Q111" si="80">IF(P101&lt;20%,M101,ROUNDUP(K101*0.8/1000,0)*1000)</f>
        <v>961450</v>
      </c>
      <c r="R101" s="160">
        <f t="shared" ref="R101:R111" si="81">-PMT(9.4%/12,15*12,Q101*0.9)</f>
        <v>8983.5877981325593</v>
      </c>
      <c r="S101" s="160">
        <f t="shared" ref="S101:S111" si="82">2%*I101</f>
        <v>24388</v>
      </c>
      <c r="T101" s="171">
        <f t="shared" ref="T101:T111" si="83">K101*(1/125/12*1.5+0/12)+5.2*D101+I101/15/12-S101/15/12</f>
        <v>7986.2943655555555</v>
      </c>
      <c r="U101" s="162" t="str">
        <f t="shared" ref="U101:U111" si="84">IF(R101&lt;T101,(T101-R101)*12*15/I101,"")</f>
        <v/>
      </c>
      <c r="V101" s="148">
        <f t="shared" ref="V101:V111" si="85">M101-K101</f>
        <v>-142008.81000000006</v>
      </c>
      <c r="W101" s="152" t="str">
        <f t="shared" ref="W101:W111" si="86">IF(LEN(U101)&gt;0,I101*(1-U101),"")</f>
        <v/>
      </c>
      <c r="X101" s="153" t="str">
        <f t="shared" ref="X101:X111" si="87">IF(OR((1-Q101/I101)&gt;U101,U101=""),"","Более 20%")</f>
        <v/>
      </c>
      <c r="Y101" s="132" t="e">
        <f t="shared" ref="Y101:Y107" si="88">W101-K101</f>
        <v>#VALUE!</v>
      </c>
      <c r="Z101" s="155">
        <f t="shared" ref="Z101:Z111" si="89">(T101-R101)/R101</f>
        <v>-0.11101282193560948</v>
      </c>
      <c r="AA101" s="132">
        <f t="shared" ref="AA101:AA111" si="90">T101-R101</f>
        <v>-997.29343257700384</v>
      </c>
      <c r="AB101" s="202">
        <f t="shared" ref="AB101:AB111" si="91">Q101-G101</f>
        <v>-257950</v>
      </c>
    </row>
    <row r="102" spans="1:28" ht="18" customHeight="1" x14ac:dyDescent="0.25">
      <c r="A102" s="138">
        <v>100</v>
      </c>
      <c r="B102" s="163" t="str">
        <f>Квар.реализация!B21</f>
        <v>с. Красноусольский</v>
      </c>
      <c r="C102" s="163" t="str">
        <f>Квар.реализация!C21</f>
        <v>ул. Свердлова, д. 130/3</v>
      </c>
      <c r="D102" s="163">
        <f>Квар.реализация!J21</f>
        <v>46.3</v>
      </c>
      <c r="E102" s="166">
        <f>Квар.реализация!M21</f>
        <v>2014</v>
      </c>
      <c r="F102" s="166"/>
      <c r="G102" s="160">
        <v>1203800</v>
      </c>
      <c r="H102" s="161"/>
      <c r="I102" s="172">
        <f t="shared" si="74"/>
        <v>1203800</v>
      </c>
      <c r="J102" s="175">
        <f t="shared" si="75"/>
        <v>0</v>
      </c>
      <c r="K102" s="163">
        <f>Квар.реализация!O21</f>
        <v>1106463.68</v>
      </c>
      <c r="L102" s="160">
        <f t="shared" si="76"/>
        <v>97336.320000000065</v>
      </c>
      <c r="M102" s="163">
        <f>Квар.реализация!AD21</f>
        <v>949149.99999999988</v>
      </c>
      <c r="N102" s="160">
        <f t="shared" si="77"/>
        <v>20500</v>
      </c>
      <c r="O102" s="164">
        <f t="shared" si="78"/>
        <v>0.21153846153846165</v>
      </c>
      <c r="P102" s="164">
        <f t="shared" si="79"/>
        <v>0.142176994006708</v>
      </c>
      <c r="Q102" s="143">
        <f t="shared" si="80"/>
        <v>949149.99999999988</v>
      </c>
      <c r="R102" s="160">
        <f t="shared" si="81"/>
        <v>8868.6591695850202</v>
      </c>
      <c r="S102" s="160">
        <f t="shared" si="82"/>
        <v>24076</v>
      </c>
      <c r="T102" s="171">
        <f t="shared" si="83"/>
        <v>7901.245902222222</v>
      </c>
      <c r="U102" s="162" t="str">
        <f t="shared" si="84"/>
        <v/>
      </c>
      <c r="V102" s="148">
        <f t="shared" si="85"/>
        <v>-157313.68000000005</v>
      </c>
      <c r="W102" s="152" t="str">
        <f t="shared" si="86"/>
        <v/>
      </c>
      <c r="X102" s="153" t="str">
        <f t="shared" si="87"/>
        <v/>
      </c>
      <c r="Y102" s="132" t="e">
        <f t="shared" si="88"/>
        <v>#VALUE!</v>
      </c>
      <c r="Z102" s="155">
        <f t="shared" si="89"/>
        <v>-0.10908224669187114</v>
      </c>
      <c r="AA102" s="132">
        <f t="shared" si="90"/>
        <v>-967.41326736279825</v>
      </c>
      <c r="AB102" s="202">
        <f t="shared" si="91"/>
        <v>-254650.00000000012</v>
      </c>
    </row>
    <row r="103" spans="1:28" ht="18" customHeight="1" x14ac:dyDescent="0.25">
      <c r="A103" s="138">
        <v>101</v>
      </c>
      <c r="B103" s="163" t="str">
        <f>Квар.реализация!B22</f>
        <v>с. Красноусольский</v>
      </c>
      <c r="C103" s="163" t="str">
        <f>Квар.реализация!C22</f>
        <v>ул. Свердлова, д. 130/3</v>
      </c>
      <c r="D103" s="163">
        <f>Квар.реализация!J22</f>
        <v>46.7</v>
      </c>
      <c r="E103" s="166">
        <f>Квар.реализация!M22</f>
        <v>2014</v>
      </c>
      <c r="F103" s="166"/>
      <c r="G103" s="160">
        <v>1214200</v>
      </c>
      <c r="H103" s="161"/>
      <c r="I103" s="172">
        <f t="shared" si="74"/>
        <v>1214200</v>
      </c>
      <c r="J103" s="175">
        <f t="shared" si="75"/>
        <v>0</v>
      </c>
      <c r="K103" s="163">
        <f>Квар.реализация!O22</f>
        <v>1094093.6200000001</v>
      </c>
      <c r="L103" s="160">
        <f t="shared" si="76"/>
        <v>120106.37999999989</v>
      </c>
      <c r="M103" s="163">
        <f>Квар.реализация!AD22</f>
        <v>957350.00000000012</v>
      </c>
      <c r="N103" s="160">
        <f t="shared" si="77"/>
        <v>20500</v>
      </c>
      <c r="O103" s="164">
        <f t="shared" si="78"/>
        <v>0.21153846153846145</v>
      </c>
      <c r="P103" s="164">
        <f t="shared" si="79"/>
        <v>0.12498347262092616</v>
      </c>
      <c r="Q103" s="143">
        <f t="shared" si="80"/>
        <v>957350.00000000012</v>
      </c>
      <c r="R103" s="160">
        <f t="shared" si="81"/>
        <v>8945.2782552833796</v>
      </c>
      <c r="S103" s="160">
        <f t="shared" si="82"/>
        <v>24284</v>
      </c>
      <c r="T103" s="171">
        <f t="shared" si="83"/>
        <v>7947.5780644444449</v>
      </c>
      <c r="U103" s="162" t="str">
        <f t="shared" si="84"/>
        <v/>
      </c>
      <c r="V103" s="148">
        <f t="shared" si="85"/>
        <v>-136743.62</v>
      </c>
      <c r="W103" s="152" t="str">
        <f t="shared" si="86"/>
        <v/>
      </c>
      <c r="X103" s="153" t="str">
        <f t="shared" si="87"/>
        <v/>
      </c>
      <c r="Y103" s="132" t="e">
        <f t="shared" si="88"/>
        <v>#VALUE!</v>
      </c>
      <c r="Z103" s="155">
        <f t="shared" si="89"/>
        <v>-0.11153372341991259</v>
      </c>
      <c r="AA103" s="132">
        <f t="shared" si="90"/>
        <v>-997.70019083893476</v>
      </c>
      <c r="AB103" s="202">
        <f t="shared" si="91"/>
        <v>-256849.99999999988</v>
      </c>
    </row>
    <row r="104" spans="1:28" ht="18" customHeight="1" x14ac:dyDescent="0.25">
      <c r="A104" s="138">
        <v>102</v>
      </c>
      <c r="B104" s="163" t="str">
        <f>Квар.реализация!B23</f>
        <v>с. Красноусольский</v>
      </c>
      <c r="C104" s="163" t="str">
        <f>Квар.реализация!C23</f>
        <v>ул. Свердлова, д. 130/3</v>
      </c>
      <c r="D104" s="163">
        <f>Квар.реализация!J23</f>
        <v>47.5</v>
      </c>
      <c r="E104" s="166">
        <f>Квар.реализация!M23</f>
        <v>2014</v>
      </c>
      <c r="F104" s="166"/>
      <c r="G104" s="160">
        <v>1235000</v>
      </c>
      <c r="H104" s="161"/>
      <c r="I104" s="172">
        <f t="shared" si="74"/>
        <v>1235000</v>
      </c>
      <c r="J104" s="175">
        <f t="shared" si="75"/>
        <v>0</v>
      </c>
      <c r="K104" s="163">
        <f>Квар.реализация!O23</f>
        <v>1093432.5</v>
      </c>
      <c r="L104" s="160">
        <f t="shared" si="76"/>
        <v>141567.5</v>
      </c>
      <c r="M104" s="163">
        <f>Квар.реализация!AD23</f>
        <v>973750</v>
      </c>
      <c r="N104" s="160">
        <f t="shared" si="77"/>
        <v>20500</v>
      </c>
      <c r="O104" s="164">
        <f t="shared" si="78"/>
        <v>0.21153846153846154</v>
      </c>
      <c r="P104" s="164">
        <f t="shared" si="79"/>
        <v>0.10945577344737786</v>
      </c>
      <c r="Q104" s="143">
        <f t="shared" si="80"/>
        <v>973750</v>
      </c>
      <c r="R104" s="160">
        <f t="shared" si="81"/>
        <v>9098.5164266800966</v>
      </c>
      <c r="S104" s="160">
        <f t="shared" si="82"/>
        <v>24700</v>
      </c>
      <c r="T104" s="171">
        <f t="shared" si="83"/>
        <v>8064.3213888888877</v>
      </c>
      <c r="U104" s="162" t="str">
        <f t="shared" si="84"/>
        <v/>
      </c>
      <c r="V104" s="148">
        <f t="shared" si="85"/>
        <v>-119682.5</v>
      </c>
      <c r="W104" s="152" t="str">
        <f t="shared" si="86"/>
        <v/>
      </c>
      <c r="X104" s="153" t="str">
        <f t="shared" si="87"/>
        <v/>
      </c>
      <c r="Y104" s="132" t="e">
        <f t="shared" si="88"/>
        <v>#VALUE!</v>
      </c>
      <c r="Z104" s="155">
        <f t="shared" si="89"/>
        <v>-0.11366633737766084</v>
      </c>
      <c r="AA104" s="132">
        <f t="shared" si="90"/>
        <v>-1034.195037791209</v>
      </c>
      <c r="AB104" s="202">
        <f t="shared" si="91"/>
        <v>-261250</v>
      </c>
    </row>
    <row r="105" spans="1:28" ht="18" customHeight="1" x14ac:dyDescent="0.25">
      <c r="A105" s="138">
        <v>103</v>
      </c>
      <c r="B105" s="163" t="str">
        <f>Квар.реализация!B24</f>
        <v>с. Красноусольский</v>
      </c>
      <c r="C105" s="163" t="str">
        <f>Квар.реализация!C24</f>
        <v>ул. Свердлова, д. 130/3</v>
      </c>
      <c r="D105" s="163">
        <f>Квар.реализация!J24</f>
        <v>47.1</v>
      </c>
      <c r="E105" s="166">
        <f>Квар.реализация!M24</f>
        <v>2014</v>
      </c>
      <c r="F105" s="166"/>
      <c r="G105" s="160">
        <v>1224600</v>
      </c>
      <c r="H105" s="161"/>
      <c r="I105" s="172">
        <f t="shared" si="74"/>
        <v>1224600</v>
      </c>
      <c r="J105" s="175">
        <f t="shared" si="75"/>
        <v>0</v>
      </c>
      <c r="K105" s="163">
        <f>Квар.реализация!O24</f>
        <v>1093901.43</v>
      </c>
      <c r="L105" s="160">
        <f t="shared" si="76"/>
        <v>130698.57000000007</v>
      </c>
      <c r="M105" s="163">
        <f>Квар.реализация!AD24</f>
        <v>965550</v>
      </c>
      <c r="N105" s="160">
        <f t="shared" si="77"/>
        <v>20500</v>
      </c>
      <c r="O105" s="164">
        <f t="shared" si="78"/>
        <v>0.21153846153846154</v>
      </c>
      <c r="P105" s="164">
        <f t="shared" si="79"/>
        <v>0.1173336339819941</v>
      </c>
      <c r="Q105" s="143">
        <f t="shared" si="80"/>
        <v>965550</v>
      </c>
      <c r="R105" s="160">
        <f t="shared" si="81"/>
        <v>9021.897340981739</v>
      </c>
      <c r="S105" s="160">
        <f t="shared" si="82"/>
        <v>24492</v>
      </c>
      <c r="T105" s="171">
        <f t="shared" si="83"/>
        <v>8006.0880966666664</v>
      </c>
      <c r="U105" s="162" t="str">
        <f t="shared" si="84"/>
        <v/>
      </c>
      <c r="V105" s="148">
        <f t="shared" si="85"/>
        <v>-128351.42999999993</v>
      </c>
      <c r="W105" s="152" t="str">
        <f t="shared" si="86"/>
        <v/>
      </c>
      <c r="X105" s="153" t="str">
        <f t="shared" si="87"/>
        <v/>
      </c>
      <c r="Y105" s="132" t="e">
        <f t="shared" si="88"/>
        <v>#VALUE!</v>
      </c>
      <c r="Z105" s="155">
        <f t="shared" si="89"/>
        <v>-0.11259374895575291</v>
      </c>
      <c r="AA105" s="132">
        <f t="shared" si="90"/>
        <v>-1015.8092443150726</v>
      </c>
      <c r="AB105" s="202">
        <f t="shared" si="91"/>
        <v>-259050</v>
      </c>
    </row>
    <row r="106" spans="1:28" ht="18" customHeight="1" x14ac:dyDescent="0.25">
      <c r="A106" s="138">
        <v>104</v>
      </c>
      <c r="B106" s="163" t="str">
        <f>Квар.реализация!B25</f>
        <v>с. Красноусольский</v>
      </c>
      <c r="C106" s="163" t="str">
        <f>Квар.реализация!C25</f>
        <v>ул. Свердлова, д. 130/3</v>
      </c>
      <c r="D106" s="163">
        <f>Квар.реализация!J25</f>
        <v>46.9</v>
      </c>
      <c r="E106" s="166">
        <f>Квар.реализация!M25</f>
        <v>2014</v>
      </c>
      <c r="F106" s="166"/>
      <c r="G106" s="160">
        <v>1219400</v>
      </c>
      <c r="H106" s="161"/>
      <c r="I106" s="172">
        <f t="shared" si="74"/>
        <v>1219400</v>
      </c>
      <c r="J106" s="175">
        <f t="shared" si="75"/>
        <v>0</v>
      </c>
      <c r="K106" s="163">
        <f>Квар.реализация!O25</f>
        <v>1118550.8700000001</v>
      </c>
      <c r="L106" s="160">
        <f t="shared" si="76"/>
        <v>100849.12999999989</v>
      </c>
      <c r="M106" s="163">
        <f>Квар.реализация!AD25</f>
        <v>961450</v>
      </c>
      <c r="N106" s="160">
        <f t="shared" si="77"/>
        <v>20500</v>
      </c>
      <c r="O106" s="164">
        <f t="shared" si="78"/>
        <v>0.21153846153846154</v>
      </c>
      <c r="P106" s="164">
        <f t="shared" si="79"/>
        <v>0.14045035788135421</v>
      </c>
      <c r="Q106" s="143">
        <f t="shared" si="80"/>
        <v>961450</v>
      </c>
      <c r="R106" s="160">
        <f t="shared" si="81"/>
        <v>8983.5877981325593</v>
      </c>
      <c r="S106" s="160">
        <f t="shared" si="82"/>
        <v>24388</v>
      </c>
      <c r="T106" s="171">
        <f t="shared" si="83"/>
        <v>8001.3864255555554</v>
      </c>
      <c r="U106" s="162" t="str">
        <f t="shared" si="84"/>
        <v/>
      </c>
      <c r="V106" s="148">
        <f t="shared" si="85"/>
        <v>-157100.87000000011</v>
      </c>
      <c r="W106" s="152" t="str">
        <f t="shared" si="86"/>
        <v/>
      </c>
      <c r="X106" s="153" t="str">
        <f t="shared" si="87"/>
        <v/>
      </c>
      <c r="Y106" s="132" t="e">
        <f t="shared" si="88"/>
        <v>#VALUE!</v>
      </c>
      <c r="Z106" s="155">
        <f t="shared" si="89"/>
        <v>-0.10933286284363765</v>
      </c>
      <c r="AA106" s="132">
        <f t="shared" si="90"/>
        <v>-982.20137257700389</v>
      </c>
      <c r="AB106" s="202">
        <f t="shared" si="91"/>
        <v>-257950</v>
      </c>
    </row>
    <row r="107" spans="1:28" ht="18" customHeight="1" x14ac:dyDescent="0.25">
      <c r="A107" s="138">
        <v>105</v>
      </c>
      <c r="B107" s="163" t="str">
        <f>Квар.реализация!B26</f>
        <v>с. Красноусольский</v>
      </c>
      <c r="C107" s="163" t="str">
        <f>Квар.реализация!C26</f>
        <v>ул. Свердлова, д. 130/3</v>
      </c>
      <c r="D107" s="163">
        <f>Квар.реализация!J26</f>
        <v>46.9</v>
      </c>
      <c r="E107" s="166">
        <f>Квар.реализация!M26</f>
        <v>2014</v>
      </c>
      <c r="F107" s="166"/>
      <c r="G107" s="160">
        <v>1219400</v>
      </c>
      <c r="H107" s="161"/>
      <c r="I107" s="172">
        <f t="shared" si="74"/>
        <v>1219400</v>
      </c>
      <c r="J107" s="175">
        <f t="shared" si="75"/>
        <v>0</v>
      </c>
      <c r="K107" s="163">
        <f>Квар.реализация!O26</f>
        <v>1165052.93</v>
      </c>
      <c r="L107" s="160">
        <f t="shared" si="76"/>
        <v>54347.070000000065</v>
      </c>
      <c r="M107" s="163">
        <f>Квар.реализация!AD26</f>
        <v>961450</v>
      </c>
      <c r="N107" s="160">
        <f t="shared" si="77"/>
        <v>20500</v>
      </c>
      <c r="O107" s="164">
        <f t="shared" si="78"/>
        <v>0.21153846153846154</v>
      </c>
      <c r="P107" s="164">
        <f t="shared" si="79"/>
        <v>0.17475852363205502</v>
      </c>
      <c r="Q107" s="143">
        <f t="shared" si="80"/>
        <v>961450</v>
      </c>
      <c r="R107" s="160">
        <f t="shared" si="81"/>
        <v>8983.5877981325593</v>
      </c>
      <c r="S107" s="160">
        <f t="shared" si="82"/>
        <v>24388</v>
      </c>
      <c r="T107" s="171">
        <f t="shared" si="83"/>
        <v>8047.8884855555552</v>
      </c>
      <c r="U107" s="162" t="str">
        <f t="shared" si="84"/>
        <v/>
      </c>
      <c r="V107" s="148">
        <f t="shared" si="85"/>
        <v>-203602.92999999993</v>
      </c>
      <c r="W107" s="152" t="str">
        <f t="shared" si="86"/>
        <v/>
      </c>
      <c r="X107" s="153" t="str">
        <f t="shared" si="87"/>
        <v/>
      </c>
      <c r="Y107" s="132" t="e">
        <f t="shared" si="88"/>
        <v>#VALUE!</v>
      </c>
      <c r="Z107" s="155">
        <f t="shared" si="89"/>
        <v>-0.10415652783752058</v>
      </c>
      <c r="AA107" s="132">
        <f t="shared" si="90"/>
        <v>-935.69931257700409</v>
      </c>
      <c r="AB107" s="202">
        <f t="shared" si="91"/>
        <v>-257950</v>
      </c>
    </row>
    <row r="108" spans="1:28" ht="18" customHeight="1" x14ac:dyDescent="0.25">
      <c r="A108" s="138">
        <v>106</v>
      </c>
      <c r="B108" s="163" t="str">
        <f>Квар.реализация!B92</f>
        <v>с. Кудеевский, литер 3</v>
      </c>
      <c r="C108" s="163" t="str">
        <f>Квар.реализация!C92</f>
        <v xml:space="preserve"> литер 3</v>
      </c>
      <c r="D108" s="163">
        <f>Квар.реализация!J92</f>
        <v>32.200000000000003</v>
      </c>
      <c r="E108" s="166">
        <f>Квар.реализация!M92</f>
        <v>2016</v>
      </c>
      <c r="F108" s="166"/>
      <c r="G108" s="160">
        <v>966000.00000000012</v>
      </c>
      <c r="H108" s="161"/>
      <c r="I108" s="172">
        <f t="shared" si="74"/>
        <v>966000.00000000012</v>
      </c>
      <c r="J108" s="175">
        <f t="shared" si="75"/>
        <v>0</v>
      </c>
      <c r="K108" s="163">
        <f>Квар.реализация!O92</f>
        <v>956129.53</v>
      </c>
      <c r="L108" s="160">
        <f t="shared" si="76"/>
        <v>9870.4700000000885</v>
      </c>
      <c r="M108" s="163">
        <f>Квар.реализация!AD92</f>
        <v>966000.00000000012</v>
      </c>
      <c r="N108" s="160">
        <f t="shared" si="77"/>
        <v>30000</v>
      </c>
      <c r="O108" s="164">
        <f t="shared" si="78"/>
        <v>0</v>
      </c>
      <c r="P108" s="164">
        <f t="shared" si="79"/>
        <v>-1.0323360685241138E-2</v>
      </c>
      <c r="Q108" s="143">
        <f t="shared" si="80"/>
        <v>966000.00000000012</v>
      </c>
      <c r="R108" s="160">
        <f t="shared" si="81"/>
        <v>9026.1020469042105</v>
      </c>
      <c r="S108" s="160">
        <f t="shared" si="82"/>
        <v>19320.000000000004</v>
      </c>
      <c r="T108" s="171">
        <f t="shared" si="83"/>
        <v>6382.9028633333337</v>
      </c>
      <c r="U108" s="162" t="str">
        <f t="shared" si="84"/>
        <v/>
      </c>
      <c r="V108" s="148">
        <f t="shared" si="85"/>
        <v>9870.4700000000885</v>
      </c>
      <c r="W108" s="152" t="str">
        <f t="shared" si="86"/>
        <v/>
      </c>
      <c r="X108" s="153" t="str">
        <f t="shared" si="87"/>
        <v/>
      </c>
      <c r="Y108" s="132">
        <v>0</v>
      </c>
      <c r="Z108" s="155">
        <f t="shared" si="89"/>
        <v>-0.29283949703155043</v>
      </c>
      <c r="AA108" s="132">
        <f t="shared" si="90"/>
        <v>-2643.1991835708768</v>
      </c>
      <c r="AB108" s="202">
        <f t="shared" si="91"/>
        <v>0</v>
      </c>
    </row>
    <row r="109" spans="1:28" ht="18" customHeight="1" x14ac:dyDescent="0.25">
      <c r="A109" s="138">
        <v>107</v>
      </c>
      <c r="B109" s="163" t="str">
        <f>Квар.реализация!B39</f>
        <v>с. Новобелокатай</v>
      </c>
      <c r="C109" s="163" t="str">
        <f>Квар.реализация!C39</f>
        <v>ул. Школьная, д. 5 А</v>
      </c>
      <c r="D109" s="163">
        <f>Квар.реализация!J39</f>
        <v>47.5</v>
      </c>
      <c r="E109" s="166">
        <f>Квар.реализация!M39</f>
        <v>2015</v>
      </c>
      <c r="F109" s="166" t="s">
        <v>580</v>
      </c>
      <c r="G109" s="160">
        <v>1282500</v>
      </c>
      <c r="H109" s="161"/>
      <c r="I109" s="172">
        <f t="shared" si="74"/>
        <v>1282500</v>
      </c>
      <c r="J109" s="205">
        <f t="shared" si="75"/>
        <v>0</v>
      </c>
      <c r="K109" s="163">
        <f>Квар.реализация!O39</f>
        <v>1246709.29</v>
      </c>
      <c r="L109" s="160">
        <f t="shared" si="76"/>
        <v>35790.709999999963</v>
      </c>
      <c r="M109" s="163">
        <f>Квар.реализация!AD39</f>
        <v>950000</v>
      </c>
      <c r="N109" s="160">
        <f t="shared" si="77"/>
        <v>20000</v>
      </c>
      <c r="O109" s="164">
        <f t="shared" si="78"/>
        <v>0.25925925925925924</v>
      </c>
      <c r="P109" s="164">
        <f t="shared" si="79"/>
        <v>0.23799396730251365</v>
      </c>
      <c r="Q109" s="143">
        <f t="shared" si="80"/>
        <v>998000</v>
      </c>
      <c r="R109" s="160">
        <f t="shared" si="81"/>
        <v>9325.1033569465853</v>
      </c>
      <c r="S109" s="160">
        <f t="shared" si="82"/>
        <v>25650</v>
      </c>
      <c r="T109" s="171">
        <f t="shared" si="83"/>
        <v>8476.2092900000007</v>
      </c>
      <c r="U109" s="162" t="str">
        <f t="shared" si="84"/>
        <v/>
      </c>
      <c r="V109" s="148">
        <f t="shared" si="85"/>
        <v>-296709.29000000004</v>
      </c>
      <c r="W109" s="152" t="str">
        <f t="shared" si="86"/>
        <v/>
      </c>
      <c r="X109" s="153" t="str">
        <f t="shared" si="87"/>
        <v/>
      </c>
      <c r="Y109" s="132" t="e">
        <f>W109-K109</f>
        <v>#VALUE!</v>
      </c>
      <c r="Z109" s="155">
        <f t="shared" si="89"/>
        <v>-9.103320729568265E-2</v>
      </c>
      <c r="AA109" s="132">
        <f t="shared" si="90"/>
        <v>-848.89406694658464</v>
      </c>
      <c r="AB109" s="202">
        <f t="shared" si="91"/>
        <v>-284500</v>
      </c>
    </row>
    <row r="110" spans="1:28" ht="18" customHeight="1" x14ac:dyDescent="0.25">
      <c r="A110" s="138">
        <v>108</v>
      </c>
      <c r="B110" s="163" t="str">
        <f>Квар.реализация!B40</f>
        <v>с. Новобелокатай</v>
      </c>
      <c r="C110" s="163" t="str">
        <f>Квар.реализация!C40</f>
        <v>ул. Школьная, д. 5 А</v>
      </c>
      <c r="D110" s="163">
        <f>Квар.реализация!J40</f>
        <v>47.3</v>
      </c>
      <c r="E110" s="166">
        <f>Квар.реализация!M40</f>
        <v>2015</v>
      </c>
      <c r="F110" s="166" t="s">
        <v>580</v>
      </c>
      <c r="G110" s="160">
        <v>1277100</v>
      </c>
      <c r="H110" s="161"/>
      <c r="I110" s="172">
        <f t="shared" si="74"/>
        <v>1277100</v>
      </c>
      <c r="J110" s="205">
        <f t="shared" si="75"/>
        <v>0</v>
      </c>
      <c r="K110" s="163">
        <f>Квар.реализация!O40</f>
        <v>1209459.29</v>
      </c>
      <c r="L110" s="160">
        <f t="shared" si="76"/>
        <v>67640.709999999963</v>
      </c>
      <c r="M110" s="163">
        <f>Квар.реализация!AD40</f>
        <v>946000</v>
      </c>
      <c r="N110" s="160">
        <f t="shared" si="77"/>
        <v>20000</v>
      </c>
      <c r="O110" s="164">
        <f t="shared" si="78"/>
        <v>0.25925925925925924</v>
      </c>
      <c r="P110" s="164">
        <f t="shared" si="79"/>
        <v>0.21783229264376483</v>
      </c>
      <c r="Q110" s="143">
        <f t="shared" si="80"/>
        <v>968000</v>
      </c>
      <c r="R110" s="160">
        <f t="shared" si="81"/>
        <v>9044.7896287818567</v>
      </c>
      <c r="S110" s="160">
        <f t="shared" si="82"/>
        <v>25542</v>
      </c>
      <c r="T110" s="171">
        <f t="shared" si="83"/>
        <v>8408.5192900000002</v>
      </c>
      <c r="U110" s="162" t="str">
        <f t="shared" si="84"/>
        <v/>
      </c>
      <c r="V110" s="148">
        <f t="shared" si="85"/>
        <v>-263459.29000000004</v>
      </c>
      <c r="W110" s="152" t="str">
        <f t="shared" si="86"/>
        <v/>
      </c>
      <c r="X110" s="153" t="str">
        <f t="shared" si="87"/>
        <v/>
      </c>
      <c r="Y110" s="132" t="e">
        <f>W110-K110</f>
        <v>#VALUE!</v>
      </c>
      <c r="Z110" s="155">
        <f t="shared" si="89"/>
        <v>-7.0346615553904132E-2</v>
      </c>
      <c r="AA110" s="132">
        <f t="shared" si="90"/>
        <v>-636.27033878185648</v>
      </c>
      <c r="AB110" s="202">
        <f t="shared" si="91"/>
        <v>-309100</v>
      </c>
    </row>
    <row r="111" spans="1:28" ht="18" customHeight="1" thickBot="1" x14ac:dyDescent="0.3">
      <c r="A111" s="138">
        <v>109</v>
      </c>
      <c r="B111" s="163" t="str">
        <f>Квар.реализация!B41</f>
        <v>с. Новобелокатай</v>
      </c>
      <c r="C111" s="163" t="str">
        <f>Квар.реализация!C41</f>
        <v>ул. Школьная, д. 5 А</v>
      </c>
      <c r="D111" s="163">
        <f>Квар.реализация!J41</f>
        <v>47.4</v>
      </c>
      <c r="E111" s="166">
        <f>Квар.реализация!M41</f>
        <v>2015</v>
      </c>
      <c r="F111" s="166" t="s">
        <v>580</v>
      </c>
      <c r="G111" s="160">
        <v>1279800</v>
      </c>
      <c r="H111" s="161"/>
      <c r="I111" s="172">
        <f t="shared" si="74"/>
        <v>1279800</v>
      </c>
      <c r="J111" s="205">
        <f t="shared" si="75"/>
        <v>0</v>
      </c>
      <c r="K111" s="163">
        <f>Квар.реализация!O41</f>
        <v>1209459.29</v>
      </c>
      <c r="L111" s="160">
        <f t="shared" si="76"/>
        <v>70340.709999999963</v>
      </c>
      <c r="M111" s="163">
        <f>Квар.реализация!AD41</f>
        <v>948000</v>
      </c>
      <c r="N111" s="160">
        <f t="shared" si="77"/>
        <v>20000</v>
      </c>
      <c r="O111" s="164">
        <f t="shared" si="78"/>
        <v>0.25925925925925924</v>
      </c>
      <c r="P111" s="164">
        <f t="shared" si="79"/>
        <v>0.21617866112715545</v>
      </c>
      <c r="Q111" s="143">
        <f t="shared" si="80"/>
        <v>968000</v>
      </c>
      <c r="R111" s="160">
        <f t="shared" si="81"/>
        <v>9044.7896287818567</v>
      </c>
      <c r="S111" s="160">
        <f t="shared" si="82"/>
        <v>25596</v>
      </c>
      <c r="T111" s="171">
        <f t="shared" si="83"/>
        <v>8423.7392899999995</v>
      </c>
      <c r="U111" s="162" t="str">
        <f t="shared" si="84"/>
        <v/>
      </c>
      <c r="V111" s="148">
        <f t="shared" si="85"/>
        <v>-261459.29000000004</v>
      </c>
      <c r="W111" s="152" t="str">
        <f t="shared" si="86"/>
        <v/>
      </c>
      <c r="X111" s="153" t="str">
        <f t="shared" si="87"/>
        <v/>
      </c>
      <c r="Y111" s="132" t="e">
        <f>W111-K111</f>
        <v>#VALUE!</v>
      </c>
      <c r="Z111" s="155">
        <f t="shared" si="89"/>
        <v>-6.8663878793331273E-2</v>
      </c>
      <c r="AA111" s="132">
        <f t="shared" si="90"/>
        <v>-621.05033878185714</v>
      </c>
      <c r="AB111" s="202">
        <f t="shared" si="91"/>
        <v>-311800</v>
      </c>
    </row>
    <row r="112" spans="1:28" ht="12.75" customHeight="1" thickBot="1" x14ac:dyDescent="0.3">
      <c r="A112" s="138">
        <v>110</v>
      </c>
      <c r="B112" s="213" t="s">
        <v>513</v>
      </c>
      <c r="C112" s="213" t="s">
        <v>605</v>
      </c>
      <c r="D112" s="213">
        <v>47.1</v>
      </c>
      <c r="E112" s="214">
        <v>2015</v>
      </c>
      <c r="F112" s="219"/>
      <c r="G112" s="213">
        <f>D112*32000</f>
        <v>1507200</v>
      </c>
      <c r="H112" s="221"/>
      <c r="I112" s="172">
        <f t="shared" ref="I112:I119" si="92">G112-G112*H112</f>
        <v>1507200</v>
      </c>
      <c r="J112" s="205">
        <f t="shared" ref="J112:J119" si="93">IF(I112-K112&lt;0,I112-K112,0)</f>
        <v>0</v>
      </c>
      <c r="K112" s="230">
        <v>1352089.57</v>
      </c>
      <c r="L112" s="160">
        <f t="shared" ref="L112:L119" si="94">I112-K112</f>
        <v>155110.42999999993</v>
      </c>
      <c r="M112" s="211">
        <f>D112*26000</f>
        <v>1224600</v>
      </c>
      <c r="N112" s="160">
        <f t="shared" ref="N112:N119" si="95">M112/D112</f>
        <v>26000</v>
      </c>
      <c r="O112" s="164">
        <f t="shared" ref="O112:O119" si="96">(I112-M112)/I112</f>
        <v>0.1875</v>
      </c>
      <c r="P112" s="164">
        <f t="shared" ref="P112:P119" si="97">(K112-M112)/K112</f>
        <v>9.4290772467093331E-2</v>
      </c>
      <c r="Q112" s="143">
        <f t="shared" ref="Q112:Q119" si="98">IF(P112&lt;20%,M112,ROUNDUP(K112*0.8/1000,0)*1000)</f>
        <v>1224600</v>
      </c>
      <c r="R112" s="160">
        <f t="shared" ref="R112:R121" si="99">-PMT(9.4%/12,15*12,Q112*0.9)</f>
        <v>11442.406383684156</v>
      </c>
      <c r="S112" s="160">
        <f t="shared" ref="S112:S119" si="100">2%*I112</f>
        <v>30144</v>
      </c>
      <c r="T112" s="171">
        <f t="shared" ref="T112:T119" si="101">K112*(1/125/12*1.5+0/12)+5.2*D112+I112/15/12-S112/15/12</f>
        <v>9802.876236666667</v>
      </c>
      <c r="U112" s="228"/>
      <c r="V112" s="148">
        <f t="shared" ref="V112:V119" si="102">M112-K112</f>
        <v>-127489.57000000007</v>
      </c>
      <c r="W112" s="152"/>
      <c r="X112" s="153"/>
      <c r="Y112" s="132">
        <f t="shared" ref="Y112:Y119" si="103">W112-K112</f>
        <v>-1352089.57</v>
      </c>
      <c r="Z112" s="155">
        <f t="shared" ref="Z112:Z119" si="104">(T112-R112)/R112</f>
        <v>-0.14328543245547648</v>
      </c>
      <c r="AA112" s="132">
        <f t="shared" ref="AA112:AA119" si="105">T112-R112</f>
        <v>-1639.5301470174891</v>
      </c>
      <c r="AB112" s="202">
        <f t="shared" ref="AB112:AB119" si="106">Q112-G112</f>
        <v>-282600</v>
      </c>
    </row>
    <row r="113" spans="1:28" ht="12.75" customHeight="1" thickBot="1" x14ac:dyDescent="0.3">
      <c r="A113" s="138">
        <v>111</v>
      </c>
      <c r="B113" s="207" t="s">
        <v>513</v>
      </c>
      <c r="C113" s="207" t="s">
        <v>605</v>
      </c>
      <c r="D113" s="207">
        <v>47.3</v>
      </c>
      <c r="E113" s="208">
        <v>2015</v>
      </c>
      <c r="F113" s="219"/>
      <c r="G113" s="213">
        <f t="shared" ref="G113:G119" si="107">D113*32000</f>
        <v>1513600</v>
      </c>
      <c r="H113" s="221"/>
      <c r="I113" s="172">
        <f t="shared" si="92"/>
        <v>1513600</v>
      </c>
      <c r="J113" s="205">
        <f t="shared" si="93"/>
        <v>0</v>
      </c>
      <c r="K113" s="230">
        <v>1355192.13</v>
      </c>
      <c r="L113" s="160">
        <f t="shared" si="94"/>
        <v>158407.87000000011</v>
      </c>
      <c r="M113" s="211">
        <f>D113*26000</f>
        <v>1229800</v>
      </c>
      <c r="N113" s="160">
        <f t="shared" si="95"/>
        <v>26000</v>
      </c>
      <c r="O113" s="164">
        <f t="shared" si="96"/>
        <v>0.1875</v>
      </c>
      <c r="P113" s="164">
        <f t="shared" si="97"/>
        <v>9.2527197601125308E-2</v>
      </c>
      <c r="Q113" s="143">
        <f t="shared" si="98"/>
        <v>1229800</v>
      </c>
      <c r="R113" s="160">
        <f t="shared" si="99"/>
        <v>11490.994096566043</v>
      </c>
      <c r="S113" s="160">
        <f t="shared" si="100"/>
        <v>30272</v>
      </c>
      <c r="T113" s="171">
        <f t="shared" si="101"/>
        <v>9841.8632411111121</v>
      </c>
      <c r="U113" s="228"/>
      <c r="V113" s="148">
        <f t="shared" si="102"/>
        <v>-125392.12999999989</v>
      </c>
      <c r="W113" s="152"/>
      <c r="X113" s="153"/>
      <c r="Y113" s="132">
        <f t="shared" si="103"/>
        <v>-1355192.13</v>
      </c>
      <c r="Z113" s="155">
        <f t="shared" si="104"/>
        <v>-0.14351507289937213</v>
      </c>
      <c r="AA113" s="132">
        <f t="shared" si="105"/>
        <v>-1649.1308554549305</v>
      </c>
      <c r="AB113" s="202">
        <f t="shared" si="106"/>
        <v>-283800</v>
      </c>
    </row>
    <row r="114" spans="1:28" ht="12.75" customHeight="1" thickBot="1" x14ac:dyDescent="0.3">
      <c r="A114" s="138">
        <v>112</v>
      </c>
      <c r="B114" s="207" t="s">
        <v>516</v>
      </c>
      <c r="C114" s="207" t="s">
        <v>606</v>
      </c>
      <c r="D114" s="207">
        <v>48.3</v>
      </c>
      <c r="E114" s="208">
        <v>2015</v>
      </c>
      <c r="F114" s="219"/>
      <c r="G114" s="213">
        <f t="shared" si="107"/>
        <v>1545600</v>
      </c>
      <c r="H114" s="221"/>
      <c r="I114" s="172">
        <f>G114-G114*H114</f>
        <v>1545600</v>
      </c>
      <c r="J114" s="205">
        <f t="shared" si="93"/>
        <v>0</v>
      </c>
      <c r="K114" s="230">
        <v>1273320.03</v>
      </c>
      <c r="L114" s="160">
        <f t="shared" si="94"/>
        <v>272279.96999999997</v>
      </c>
      <c r="M114" s="211">
        <f>D114*20000</f>
        <v>966000</v>
      </c>
      <c r="N114" s="160">
        <f t="shared" si="95"/>
        <v>20000</v>
      </c>
      <c r="O114" s="164">
        <f t="shared" si="96"/>
        <v>0.375</v>
      </c>
      <c r="P114" s="164">
        <f t="shared" si="97"/>
        <v>0.24135333047419352</v>
      </c>
      <c r="Q114" s="143">
        <f t="shared" si="98"/>
        <v>1019000</v>
      </c>
      <c r="R114" s="160">
        <f t="shared" si="99"/>
        <v>9521.3229666618936</v>
      </c>
      <c r="S114" s="160">
        <f t="shared" si="100"/>
        <v>30912</v>
      </c>
      <c r="T114" s="171">
        <f t="shared" si="101"/>
        <v>9939.4133633333331</v>
      </c>
      <c r="U114" s="228"/>
      <c r="V114" s="148">
        <f t="shared" si="102"/>
        <v>-307320.03000000003</v>
      </c>
      <c r="W114" s="152"/>
      <c r="X114" s="153"/>
      <c r="Y114" s="132">
        <f t="shared" si="103"/>
        <v>-1273320.03</v>
      </c>
      <c r="Z114" s="155">
        <f t="shared" si="104"/>
        <v>4.3910956296236106E-2</v>
      </c>
      <c r="AA114" s="132">
        <f t="shared" si="105"/>
        <v>418.09039667143952</v>
      </c>
      <c r="AB114" s="202">
        <f t="shared" si="106"/>
        <v>-526600</v>
      </c>
    </row>
    <row r="115" spans="1:28" ht="12.75" customHeight="1" thickBot="1" x14ac:dyDescent="0.3">
      <c r="A115" s="138">
        <v>113</v>
      </c>
      <c r="B115" s="207" t="s">
        <v>516</v>
      </c>
      <c r="C115" s="207" t="s">
        <v>606</v>
      </c>
      <c r="D115" s="207">
        <v>48</v>
      </c>
      <c r="E115" s="208">
        <v>2015</v>
      </c>
      <c r="F115" s="219"/>
      <c r="G115" s="213">
        <f t="shared" si="107"/>
        <v>1536000</v>
      </c>
      <c r="H115" s="221"/>
      <c r="I115" s="172">
        <f t="shared" si="92"/>
        <v>1536000</v>
      </c>
      <c r="J115" s="205">
        <f t="shared" si="93"/>
        <v>0</v>
      </c>
      <c r="K115" s="230">
        <v>1275147.1599999999</v>
      </c>
      <c r="L115" s="160">
        <f t="shared" si="94"/>
        <v>260852.84000000008</v>
      </c>
      <c r="M115" s="211">
        <f>D115*20000</f>
        <v>960000</v>
      </c>
      <c r="N115" s="160">
        <f t="shared" si="95"/>
        <v>20000</v>
      </c>
      <c r="O115" s="164">
        <f t="shared" si="96"/>
        <v>0.375</v>
      </c>
      <c r="P115" s="164">
        <f t="shared" si="97"/>
        <v>0.24714571767544063</v>
      </c>
      <c r="Q115" s="143">
        <f t="shared" si="98"/>
        <v>1021000</v>
      </c>
      <c r="R115" s="160">
        <f t="shared" si="99"/>
        <v>9540.0105485395416</v>
      </c>
      <c r="S115" s="160">
        <f t="shared" si="100"/>
        <v>30720</v>
      </c>
      <c r="T115" s="171">
        <f t="shared" si="101"/>
        <v>9887.4138266666687</v>
      </c>
      <c r="U115" s="228"/>
      <c r="V115" s="148">
        <f t="shared" si="102"/>
        <v>-315147.15999999992</v>
      </c>
      <c r="W115" s="152"/>
      <c r="X115" s="153"/>
      <c r="Y115" s="132">
        <f t="shared" si="103"/>
        <v>-1275147.1599999999</v>
      </c>
      <c r="Z115" s="155">
        <f t="shared" si="104"/>
        <v>3.6415397693696505E-2</v>
      </c>
      <c r="AA115" s="132">
        <f t="shared" si="105"/>
        <v>347.40327812712712</v>
      </c>
      <c r="AB115" s="202">
        <f t="shared" si="106"/>
        <v>-515000</v>
      </c>
    </row>
    <row r="116" spans="1:28" ht="12.75" customHeight="1" thickBot="1" x14ac:dyDescent="0.3">
      <c r="A116" s="138">
        <v>114</v>
      </c>
      <c r="B116" s="209" t="s">
        <v>516</v>
      </c>
      <c r="C116" s="209" t="s">
        <v>606</v>
      </c>
      <c r="D116" s="209">
        <v>47.4</v>
      </c>
      <c r="E116" s="210">
        <v>2015</v>
      </c>
      <c r="F116" s="219"/>
      <c r="G116" s="213">
        <f t="shared" si="107"/>
        <v>1516800</v>
      </c>
      <c r="H116" s="221"/>
      <c r="I116" s="172">
        <f t="shared" si="92"/>
        <v>1516800</v>
      </c>
      <c r="J116" s="205">
        <f t="shared" si="93"/>
        <v>0</v>
      </c>
      <c r="K116" s="230">
        <v>1276337.55</v>
      </c>
      <c r="L116" s="160">
        <f t="shared" si="94"/>
        <v>240462.44999999995</v>
      </c>
      <c r="M116" s="211">
        <f>D116*20000</f>
        <v>948000</v>
      </c>
      <c r="N116" s="160">
        <f t="shared" si="95"/>
        <v>20000</v>
      </c>
      <c r="O116" s="164">
        <f t="shared" si="96"/>
        <v>0.375</v>
      </c>
      <c r="P116" s="164">
        <f t="shared" si="97"/>
        <v>0.2572497769105046</v>
      </c>
      <c r="Q116" s="143">
        <f t="shared" si="98"/>
        <v>1022000</v>
      </c>
      <c r="R116" s="160">
        <f t="shared" si="99"/>
        <v>9549.3543394783665</v>
      </c>
      <c r="S116" s="160">
        <f t="shared" si="100"/>
        <v>30336</v>
      </c>
      <c r="T116" s="171">
        <f t="shared" si="101"/>
        <v>9780.950883333333</v>
      </c>
      <c r="U116" s="228"/>
      <c r="V116" s="148">
        <f t="shared" si="102"/>
        <v>-328337.55000000005</v>
      </c>
      <c r="W116" s="152"/>
      <c r="X116" s="153"/>
      <c r="Y116" s="132">
        <f t="shared" si="103"/>
        <v>-1276337.55</v>
      </c>
      <c r="Z116" s="155">
        <f t="shared" si="104"/>
        <v>2.425258667986735E-2</v>
      </c>
      <c r="AA116" s="132">
        <f t="shared" si="105"/>
        <v>231.59654385496651</v>
      </c>
      <c r="AB116" s="202">
        <f t="shared" si="106"/>
        <v>-494800</v>
      </c>
    </row>
    <row r="117" spans="1:28" ht="12.75" customHeight="1" thickBot="1" x14ac:dyDescent="0.3">
      <c r="A117" s="138">
        <v>115</v>
      </c>
      <c r="B117" s="207" t="s">
        <v>528</v>
      </c>
      <c r="C117" s="207" t="s">
        <v>607</v>
      </c>
      <c r="D117" s="207">
        <v>56.8</v>
      </c>
      <c r="E117" s="208">
        <v>2016</v>
      </c>
      <c r="F117" s="219"/>
      <c r="G117" s="213">
        <f t="shared" si="107"/>
        <v>1817600</v>
      </c>
      <c r="H117" s="221"/>
      <c r="I117" s="172">
        <f t="shared" si="92"/>
        <v>1817600</v>
      </c>
      <c r="J117" s="205">
        <f t="shared" si="93"/>
        <v>0</v>
      </c>
      <c r="K117" s="230">
        <v>1604423.77</v>
      </c>
      <c r="L117" s="160">
        <f t="shared" si="94"/>
        <v>213176.22999999998</v>
      </c>
      <c r="M117" s="211">
        <f>22200*D117</f>
        <v>1260960</v>
      </c>
      <c r="N117" s="160">
        <f t="shared" si="95"/>
        <v>22200</v>
      </c>
      <c r="O117" s="164">
        <f t="shared" si="96"/>
        <v>0.30625000000000002</v>
      </c>
      <c r="P117" s="164">
        <f t="shared" si="97"/>
        <v>0.21407297524643382</v>
      </c>
      <c r="Q117" s="143">
        <f t="shared" si="98"/>
        <v>1284000</v>
      </c>
      <c r="R117" s="160">
        <f t="shared" si="99"/>
        <v>11997.427565450316</v>
      </c>
      <c r="S117" s="160">
        <f t="shared" si="100"/>
        <v>36352</v>
      </c>
      <c r="T117" s="171">
        <f t="shared" si="101"/>
        <v>11795.605992222221</v>
      </c>
      <c r="U117" s="228"/>
      <c r="V117" s="148">
        <f t="shared" si="102"/>
        <v>-343463.77</v>
      </c>
      <c r="W117" s="152"/>
      <c r="X117" s="153"/>
      <c r="Y117" s="132">
        <f t="shared" si="103"/>
        <v>-1604423.77</v>
      </c>
      <c r="Z117" s="155">
        <f t="shared" si="104"/>
        <v>-1.6822070575303352E-2</v>
      </c>
      <c r="AA117" s="132">
        <f t="shared" si="105"/>
        <v>-201.82157322809508</v>
      </c>
      <c r="AB117" s="202">
        <f t="shared" si="106"/>
        <v>-533600</v>
      </c>
    </row>
    <row r="118" spans="1:28" ht="12.75" customHeight="1" thickBot="1" x14ac:dyDescent="0.3">
      <c r="A118" s="138">
        <v>116</v>
      </c>
      <c r="B118" s="207" t="s">
        <v>542</v>
      </c>
      <c r="C118" s="207" t="s">
        <v>543</v>
      </c>
      <c r="D118" s="207">
        <v>60.1</v>
      </c>
      <c r="E118" s="208">
        <v>2016</v>
      </c>
      <c r="F118" s="219"/>
      <c r="G118" s="213">
        <f t="shared" si="107"/>
        <v>1923200</v>
      </c>
      <c r="H118" s="221"/>
      <c r="I118" s="172">
        <f t="shared" si="92"/>
        <v>1923200</v>
      </c>
      <c r="J118" s="205">
        <f t="shared" si="93"/>
        <v>0</v>
      </c>
      <c r="K118" s="230">
        <v>1685937.71</v>
      </c>
      <c r="L118" s="160">
        <f t="shared" si="94"/>
        <v>237262.29000000004</v>
      </c>
      <c r="M118" s="211">
        <f>21000*D118</f>
        <v>1262100</v>
      </c>
      <c r="N118" s="160">
        <f t="shared" si="95"/>
        <v>21000</v>
      </c>
      <c r="O118" s="164">
        <f t="shared" si="96"/>
        <v>0.34375</v>
      </c>
      <c r="P118" s="164">
        <f t="shared" si="97"/>
        <v>0.25139583003929605</v>
      </c>
      <c r="Q118" s="143">
        <f t="shared" si="98"/>
        <v>1349000</v>
      </c>
      <c r="R118" s="160">
        <f t="shared" si="99"/>
        <v>12604.773976473891</v>
      </c>
      <c r="S118" s="160">
        <f t="shared" si="100"/>
        <v>38464</v>
      </c>
      <c r="T118" s="171">
        <f t="shared" si="101"/>
        <v>12469.213265555554</v>
      </c>
      <c r="U118" s="228"/>
      <c r="V118" s="148">
        <f t="shared" si="102"/>
        <v>-423837.70999999996</v>
      </c>
      <c r="W118" s="152"/>
      <c r="X118" s="153"/>
      <c r="Y118" s="132">
        <f t="shared" si="103"/>
        <v>-1685937.71</v>
      </c>
      <c r="Z118" s="155">
        <f t="shared" si="104"/>
        <v>-1.0754711760111928E-2</v>
      </c>
      <c r="AA118" s="132">
        <f t="shared" si="105"/>
        <v>-135.56071091833655</v>
      </c>
      <c r="AB118" s="202">
        <f t="shared" si="106"/>
        <v>-574200</v>
      </c>
    </row>
    <row r="119" spans="1:28" ht="12.75" customHeight="1" thickBot="1" x14ac:dyDescent="0.3">
      <c r="A119" s="138">
        <v>117</v>
      </c>
      <c r="B119" s="215" t="s">
        <v>609</v>
      </c>
      <c r="C119" s="215" t="s">
        <v>608</v>
      </c>
      <c r="D119" s="215">
        <v>47.9</v>
      </c>
      <c r="E119" s="216">
        <v>2015</v>
      </c>
      <c r="F119" s="219"/>
      <c r="G119" s="213">
        <f t="shared" si="107"/>
        <v>1532800</v>
      </c>
      <c r="H119" s="221"/>
      <c r="I119" s="172">
        <f t="shared" si="92"/>
        <v>1532800</v>
      </c>
      <c r="J119" s="205">
        <f t="shared" si="93"/>
        <v>0</v>
      </c>
      <c r="K119" s="230">
        <v>1299717.3</v>
      </c>
      <c r="L119" s="160">
        <f t="shared" si="94"/>
        <v>233082.69999999995</v>
      </c>
      <c r="M119" s="211">
        <f>D119*21000</f>
        <v>1005900</v>
      </c>
      <c r="N119" s="160">
        <f t="shared" si="95"/>
        <v>21000</v>
      </c>
      <c r="O119" s="164">
        <f t="shared" si="96"/>
        <v>0.34375</v>
      </c>
      <c r="P119" s="164">
        <f t="shared" si="97"/>
        <v>0.22606246758429702</v>
      </c>
      <c r="Q119" s="143">
        <f t="shared" si="98"/>
        <v>1040000</v>
      </c>
      <c r="R119" s="160">
        <f t="shared" si="99"/>
        <v>9717.5425763772037</v>
      </c>
      <c r="S119" s="160">
        <f t="shared" si="100"/>
        <v>30656</v>
      </c>
      <c r="T119" s="171">
        <f t="shared" si="101"/>
        <v>9894.0417444444465</v>
      </c>
      <c r="U119" s="228"/>
      <c r="V119" s="148">
        <f t="shared" si="102"/>
        <v>-293817.30000000005</v>
      </c>
      <c r="W119" s="152"/>
      <c r="X119" s="153"/>
      <c r="Y119" s="132">
        <f t="shared" si="103"/>
        <v>-1299717.3</v>
      </c>
      <c r="Z119" s="155">
        <f t="shared" si="104"/>
        <v>1.8162942604059422E-2</v>
      </c>
      <c r="AA119" s="132">
        <f t="shared" si="105"/>
        <v>176.49916806724286</v>
      </c>
      <c r="AB119" s="202">
        <f t="shared" si="106"/>
        <v>-492800</v>
      </c>
    </row>
    <row r="120" spans="1:28" ht="12.75" customHeight="1" x14ac:dyDescent="0.25">
      <c r="A120" s="217"/>
      <c r="B120" s="218"/>
      <c r="C120" s="218"/>
      <c r="D120" s="218"/>
      <c r="E120" s="219"/>
      <c r="F120" s="219"/>
      <c r="G120" s="220"/>
      <c r="H120" s="221"/>
      <c r="I120" s="222"/>
      <c r="J120" s="223"/>
      <c r="K120" s="211"/>
      <c r="L120" s="212"/>
      <c r="M120" s="211"/>
      <c r="N120" s="212"/>
      <c r="O120" s="224"/>
      <c r="P120" s="224"/>
      <c r="Q120" s="225"/>
      <c r="R120" s="226"/>
      <c r="S120" s="226"/>
      <c r="T120" s="227"/>
      <c r="U120" s="228"/>
      <c r="V120" s="229"/>
      <c r="W120" s="152"/>
      <c r="X120" s="153"/>
    </row>
    <row r="121" spans="1:28" s="134" customFormat="1" ht="13.5" customHeight="1" x14ac:dyDescent="0.25">
      <c r="A121" s="305" t="s">
        <v>571</v>
      </c>
      <c r="B121" s="306"/>
      <c r="C121" s="306"/>
      <c r="D121" s="306"/>
      <c r="E121" s="307"/>
      <c r="F121" s="141"/>
      <c r="G121" s="141"/>
      <c r="H121" s="158"/>
      <c r="I121" s="133"/>
      <c r="J121" s="133"/>
      <c r="K121" s="133">
        <f>SUM(K3:K111)</f>
        <v>147263720.39000005</v>
      </c>
      <c r="L121" s="133"/>
      <c r="M121" s="133">
        <f>SUM(M3:M111)</f>
        <v>121188450</v>
      </c>
      <c r="N121" s="133"/>
      <c r="O121" s="133"/>
      <c r="P121" s="133"/>
      <c r="Q121" s="145">
        <f>SUM(Q3:Q111)</f>
        <v>124668630</v>
      </c>
      <c r="R121" s="139">
        <f t="shared" si="99"/>
        <v>1164877.6153496311</v>
      </c>
      <c r="S121" s="139"/>
      <c r="T121" s="174"/>
      <c r="U121" s="139"/>
      <c r="V121" s="149">
        <f>SUM(V3:V111)</f>
        <v>-26075270.390000004</v>
      </c>
      <c r="W121" s="152" t="str">
        <f>IF(LEN(U121)&gt;0,I121*(1-U121),"")</f>
        <v/>
      </c>
      <c r="X121" s="154"/>
      <c r="Z121" s="156"/>
      <c r="AB121" s="177"/>
    </row>
    <row r="122" spans="1:28" s="134" customFormat="1" ht="13.5" customHeight="1" x14ac:dyDescent="0.25">
      <c r="A122" s="186"/>
      <c r="B122" s="186"/>
      <c r="C122" s="186"/>
      <c r="D122" s="186"/>
      <c r="E122" s="186"/>
      <c r="F122" s="186"/>
      <c r="G122" s="186"/>
      <c r="H122" s="187"/>
      <c r="I122" s="188"/>
      <c r="J122" s="188"/>
      <c r="K122" s="188"/>
      <c r="L122" s="188"/>
      <c r="M122" s="188"/>
      <c r="N122" s="188"/>
      <c r="O122" s="188"/>
      <c r="P122" s="188"/>
      <c r="Q122" s="189"/>
      <c r="R122" s="188"/>
      <c r="S122" s="188"/>
      <c r="T122" s="190"/>
      <c r="U122" s="188"/>
      <c r="V122" s="191"/>
      <c r="W122" s="192"/>
      <c r="X122" s="188"/>
      <c r="Z122" s="156"/>
      <c r="AB122" s="177"/>
    </row>
    <row r="123" spans="1:28" s="131" customFormat="1" ht="31.5" customHeight="1" x14ac:dyDescent="0.25">
      <c r="A123" s="196" t="s">
        <v>596</v>
      </c>
      <c r="B123" s="197" t="s">
        <v>595</v>
      </c>
      <c r="C123" s="197" t="s">
        <v>590</v>
      </c>
      <c r="D123" s="197"/>
      <c r="E123" s="197"/>
      <c r="F123" s="198" t="s">
        <v>594</v>
      </c>
      <c r="G123" s="193"/>
      <c r="H123" s="194"/>
      <c r="I123" s="193"/>
      <c r="J123" s="195"/>
      <c r="K123" s="193"/>
      <c r="L123" s="193"/>
      <c r="M123" s="193"/>
      <c r="N123" s="193"/>
      <c r="O123" s="193"/>
      <c r="P123" s="193"/>
      <c r="Q123" s="193"/>
      <c r="R123" s="193"/>
      <c r="S123" s="193"/>
      <c r="T123" s="193"/>
      <c r="U123" s="193"/>
      <c r="Z123" s="179"/>
      <c r="AB123" s="203"/>
    </row>
    <row r="124" spans="1:28" ht="20.25" customHeight="1" x14ac:dyDescent="0.25">
      <c r="A124" s="196">
        <v>1</v>
      </c>
      <c r="B124" s="199" t="s">
        <v>589</v>
      </c>
      <c r="C124" s="200">
        <v>76000</v>
      </c>
      <c r="D124" s="199"/>
      <c r="E124" s="199"/>
      <c r="F124" s="201">
        <f>SUM(J3:J5)</f>
        <v>-592561.20000000019</v>
      </c>
      <c r="G124" s="168"/>
      <c r="H124" s="169"/>
      <c r="I124" s="168"/>
      <c r="J124" s="178"/>
      <c r="K124" s="168"/>
      <c r="L124" s="168"/>
      <c r="M124" s="168"/>
      <c r="N124" s="168"/>
      <c r="O124" s="168"/>
      <c r="P124" s="168"/>
      <c r="R124" s="168"/>
      <c r="S124" s="168"/>
      <c r="T124" s="168"/>
      <c r="U124" s="168"/>
    </row>
    <row r="125" spans="1:28" ht="20.25" customHeight="1" x14ac:dyDescent="0.25">
      <c r="A125" s="196">
        <v>2</v>
      </c>
      <c r="B125" s="199" t="s">
        <v>591</v>
      </c>
      <c r="C125" s="200">
        <f>-499656.76</f>
        <v>-499656.76</v>
      </c>
      <c r="D125" s="199"/>
      <c r="E125" s="199"/>
      <c r="F125" s="201">
        <f>SUM(J40:J43)</f>
        <v>-390087.4700000002</v>
      </c>
      <c r="G125" s="168"/>
      <c r="H125" s="169"/>
      <c r="I125" s="168"/>
      <c r="J125" s="178"/>
      <c r="K125" s="168"/>
      <c r="L125" s="168"/>
      <c r="M125" s="168"/>
      <c r="N125" s="168"/>
      <c r="O125" s="168"/>
      <c r="P125" s="168"/>
      <c r="R125" s="168"/>
      <c r="S125" s="168"/>
      <c r="T125" s="168"/>
      <c r="U125" s="168"/>
    </row>
    <row r="126" spans="1:28" ht="20.25" customHeight="1" x14ac:dyDescent="0.25">
      <c r="A126" s="196">
        <v>3</v>
      </c>
      <c r="B126" s="199" t="s">
        <v>67</v>
      </c>
      <c r="C126" s="200">
        <f>-7201.41</f>
        <v>-7201.41</v>
      </c>
      <c r="D126" s="199"/>
      <c r="E126" s="199"/>
      <c r="F126" s="201">
        <f>SUM(J44:J49)</f>
        <v>-4640.8600000001024</v>
      </c>
      <c r="G126" s="168"/>
      <c r="H126" s="169"/>
      <c r="I126" s="168"/>
      <c r="J126" s="178"/>
      <c r="K126" s="168"/>
      <c r="L126" s="168"/>
      <c r="M126" s="168"/>
      <c r="N126" s="168"/>
      <c r="O126" s="168"/>
      <c r="P126" s="168"/>
      <c r="R126" s="168"/>
      <c r="S126" s="168"/>
      <c r="T126" s="168"/>
      <c r="U126" s="168"/>
    </row>
    <row r="127" spans="1:28" ht="20.25" customHeight="1" x14ac:dyDescent="0.25">
      <c r="A127" s="196">
        <v>4</v>
      </c>
      <c r="B127" s="199" t="s">
        <v>592</v>
      </c>
      <c r="C127" s="200">
        <v>73265.27</v>
      </c>
      <c r="D127" s="199"/>
      <c r="E127" s="199"/>
      <c r="F127" s="200">
        <f>SUM(J71:J74)</f>
        <v>-12483.919999999925</v>
      </c>
    </row>
    <row r="128" spans="1:28" ht="20.25" customHeight="1" x14ac:dyDescent="0.25">
      <c r="A128" s="196">
        <v>5</v>
      </c>
      <c r="B128" s="199" t="s">
        <v>593</v>
      </c>
      <c r="C128" s="200">
        <v>245791.14</v>
      </c>
      <c r="D128" s="199"/>
      <c r="E128" s="199"/>
      <c r="F128" s="200">
        <f>SUM(J69:J70)</f>
        <v>0</v>
      </c>
    </row>
    <row r="129" spans="1:6" ht="20.25" customHeight="1" x14ac:dyDescent="0.25">
      <c r="A129" s="196">
        <v>6</v>
      </c>
      <c r="B129" s="199" t="s">
        <v>439</v>
      </c>
      <c r="C129" s="200">
        <v>264209.52</v>
      </c>
      <c r="D129" s="199"/>
      <c r="E129" s="199"/>
      <c r="F129" s="200">
        <f>SUM(J83:J90)</f>
        <v>0</v>
      </c>
    </row>
  </sheetData>
  <autoFilter ref="A2:AA121"/>
  <mergeCells count="1">
    <mergeCell ref="A121:E121"/>
  </mergeCells>
  <pageMargins left="0.70866141732283472" right="0.70866141732283472" top="0.74803149606299213" bottom="0.74803149606299213" header="0.31496062992125984" footer="0.31496062992125984"/>
  <pageSetup paperSize="9" scale="39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98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S6" sqref="S6"/>
    </sheetView>
  </sheetViews>
  <sheetFormatPr defaultColWidth="9.140625" defaultRowHeight="12.75" outlineLevelCol="1" x14ac:dyDescent="0.25"/>
  <cols>
    <col min="1" max="1" width="5" style="232" bestFit="1" customWidth="1"/>
    <col min="2" max="2" width="19.7109375" style="168" customWidth="1"/>
    <col min="3" max="3" width="28.140625" style="168" customWidth="1"/>
    <col min="4" max="4" width="10.140625" style="168" customWidth="1"/>
    <col min="5" max="5" width="10" style="233" customWidth="1"/>
    <col min="6" max="6" width="10" style="236" customWidth="1"/>
    <col min="7" max="7" width="8" style="236" customWidth="1"/>
    <col min="8" max="8" width="15" style="237" customWidth="1"/>
    <col min="9" max="9" width="12.42578125" style="237" customWidth="1"/>
    <col min="10" max="10" width="13.42578125" style="237" customWidth="1"/>
    <col min="11" max="11" width="12.140625" style="168" customWidth="1" outlineLevel="1" collapsed="1"/>
    <col min="12" max="12" width="12.7109375" style="168" customWidth="1" outlineLevel="1"/>
    <col min="13" max="13" width="8.140625" style="168" customWidth="1" outlineLevel="1"/>
    <col min="14" max="14" width="16.140625" style="168" customWidth="1" outlineLevel="1"/>
    <col min="15" max="15" width="16.5703125" style="168" hidden="1" customWidth="1"/>
    <col min="16" max="16" width="12.42578125" style="132" customWidth="1"/>
    <col min="17" max="51" width="9.140625" style="168"/>
    <col min="52" max="16384" width="9.140625" style="132"/>
  </cols>
  <sheetData>
    <row r="1" spans="1:51" ht="171" customHeight="1" x14ac:dyDescent="0.25">
      <c r="A1" s="320" t="s">
        <v>698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</row>
    <row r="2" spans="1:51" s="193" customFormat="1" ht="14.45" customHeight="1" x14ac:dyDescent="0.25">
      <c r="A2" s="310" t="s">
        <v>563</v>
      </c>
      <c r="B2" s="312" t="str">
        <f>Квар.реализация!B3</f>
        <v>Город, село</v>
      </c>
      <c r="C2" s="312" t="str">
        <f>Квар.реализация!C3</f>
        <v>Улица</v>
      </c>
      <c r="D2" s="312" t="str">
        <f>Квар.реализация!J3</f>
        <v>Площадь помещений, м2 с уч. коэфф. лоджий и балконов</v>
      </c>
      <c r="E2" s="310" t="str">
        <f>Квар.реализация!M3</f>
        <v>Год ввода в эксплуатацию</v>
      </c>
      <c r="F2" s="310" t="s">
        <v>599</v>
      </c>
      <c r="G2" s="310" t="s">
        <v>600</v>
      </c>
      <c r="H2" s="312" t="s">
        <v>648</v>
      </c>
      <c r="I2" s="309" t="s">
        <v>688</v>
      </c>
      <c r="J2" s="309"/>
      <c r="K2" s="309"/>
      <c r="L2" s="309"/>
      <c r="M2" s="308" t="s">
        <v>694</v>
      </c>
      <c r="N2" s="308" t="s">
        <v>693</v>
      </c>
      <c r="O2" s="308" t="s">
        <v>692</v>
      </c>
      <c r="P2" s="308" t="s">
        <v>699</v>
      </c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</row>
    <row r="3" spans="1:51" s="193" customFormat="1" x14ac:dyDescent="0.25">
      <c r="A3" s="310"/>
      <c r="B3" s="312"/>
      <c r="C3" s="312"/>
      <c r="D3" s="312"/>
      <c r="E3" s="310"/>
      <c r="F3" s="310"/>
      <c r="G3" s="310"/>
      <c r="H3" s="312"/>
      <c r="I3" s="309"/>
      <c r="J3" s="309"/>
      <c r="K3" s="309"/>
      <c r="L3" s="309"/>
      <c r="M3" s="308"/>
      <c r="N3" s="308"/>
      <c r="O3" s="308"/>
      <c r="P3" s="308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4"/>
      <c r="AJ3" s="244"/>
      <c r="AK3" s="244"/>
      <c r="AL3" s="244"/>
      <c r="AM3" s="244"/>
      <c r="AN3" s="244"/>
      <c r="AO3" s="244"/>
      <c r="AP3" s="244"/>
      <c r="AQ3" s="244"/>
      <c r="AR3" s="244"/>
      <c r="AS3" s="244"/>
      <c r="AT3" s="244"/>
      <c r="AU3" s="244"/>
      <c r="AV3" s="244"/>
      <c r="AW3" s="244"/>
      <c r="AX3" s="244"/>
      <c r="AY3" s="244"/>
    </row>
    <row r="4" spans="1:51" s="244" customFormat="1" x14ac:dyDescent="0.25">
      <c r="A4" s="310"/>
      <c r="B4" s="312"/>
      <c r="C4" s="312"/>
      <c r="D4" s="312"/>
      <c r="E4" s="310"/>
      <c r="F4" s="310"/>
      <c r="G4" s="310"/>
      <c r="H4" s="312"/>
      <c r="I4" s="313" t="s">
        <v>686</v>
      </c>
      <c r="J4" s="313"/>
      <c r="K4" s="313"/>
      <c r="L4" s="313"/>
      <c r="M4" s="308"/>
      <c r="N4" s="308"/>
      <c r="O4" s="308"/>
      <c r="P4" s="308"/>
    </row>
    <row r="5" spans="1:51" s="244" customFormat="1" ht="45.75" customHeight="1" x14ac:dyDescent="0.25">
      <c r="A5" s="311"/>
      <c r="B5" s="308"/>
      <c r="C5" s="308"/>
      <c r="D5" s="308"/>
      <c r="E5" s="311"/>
      <c r="F5" s="311"/>
      <c r="G5" s="311"/>
      <c r="H5" s="308"/>
      <c r="I5" s="308" t="s">
        <v>687</v>
      </c>
      <c r="J5" s="308"/>
      <c r="K5" s="313" t="s">
        <v>691</v>
      </c>
      <c r="L5" s="313"/>
      <c r="M5" s="308"/>
      <c r="N5" s="308"/>
      <c r="O5" s="308"/>
      <c r="P5" s="308"/>
    </row>
    <row r="6" spans="1:51" s="244" customFormat="1" ht="72" customHeight="1" x14ac:dyDescent="0.25">
      <c r="A6" s="310"/>
      <c r="B6" s="312"/>
      <c r="C6" s="312"/>
      <c r="D6" s="312"/>
      <c r="E6" s="310"/>
      <c r="F6" s="310"/>
      <c r="G6" s="310"/>
      <c r="H6" s="312"/>
      <c r="I6" s="244" t="s">
        <v>689</v>
      </c>
      <c r="J6" s="262" t="s">
        <v>690</v>
      </c>
      <c r="K6" s="244" t="s">
        <v>689</v>
      </c>
      <c r="L6" s="262" t="s">
        <v>690</v>
      </c>
      <c r="M6" s="308"/>
      <c r="N6" s="308"/>
      <c r="O6" s="308"/>
      <c r="P6" s="308"/>
    </row>
    <row r="7" spans="1:51" s="168" customFormat="1" ht="15" customHeight="1" x14ac:dyDescent="0.25">
      <c r="A7" s="261">
        <v>1</v>
      </c>
      <c r="B7" s="239" t="s">
        <v>651</v>
      </c>
      <c r="C7" s="239" t="s">
        <v>495</v>
      </c>
      <c r="D7" s="239">
        <v>46.7</v>
      </c>
      <c r="E7" s="208">
        <v>2014</v>
      </c>
      <c r="F7" s="240">
        <v>13</v>
      </c>
      <c r="G7" s="240">
        <v>1</v>
      </c>
      <c r="H7" s="234">
        <f>D7*26000</f>
        <v>1214200</v>
      </c>
      <c r="I7" s="245"/>
      <c r="J7" s="246">
        <f>D7*20000</f>
        <v>934000</v>
      </c>
      <c r="K7" s="246"/>
      <c r="L7" s="263">
        <f t="shared" ref="L7:L16" si="0">J7</f>
        <v>934000</v>
      </c>
      <c r="M7" s="247">
        <f>1-J7/H7</f>
        <v>0.23076923076923073</v>
      </c>
      <c r="N7" s="263">
        <f>H7-J7</f>
        <v>280200</v>
      </c>
      <c r="O7" s="245" t="e">
        <f>L7-#REF!</f>
        <v>#REF!</v>
      </c>
      <c r="P7" s="245" t="s">
        <v>697</v>
      </c>
    </row>
    <row r="8" spans="1:51" s="168" customFormat="1" x14ac:dyDescent="0.25">
      <c r="A8" s="261">
        <f>A7+1</f>
        <v>2</v>
      </c>
      <c r="B8" s="239" t="s">
        <v>651</v>
      </c>
      <c r="C8" s="241" t="s">
        <v>653</v>
      </c>
      <c r="D8" s="242">
        <v>46.1</v>
      </c>
      <c r="E8" s="208">
        <v>2012</v>
      </c>
      <c r="F8" s="243">
        <v>21</v>
      </c>
      <c r="G8" s="243">
        <v>3</v>
      </c>
      <c r="H8" s="234">
        <f>D8*26000</f>
        <v>1198600</v>
      </c>
      <c r="I8" s="245"/>
      <c r="J8" s="246">
        <f>D8*20000</f>
        <v>922000</v>
      </c>
      <c r="K8" s="246"/>
      <c r="L8" s="263">
        <f t="shared" si="0"/>
        <v>922000</v>
      </c>
      <c r="M8" s="247">
        <f>1-J8/H8</f>
        <v>0.23076923076923073</v>
      </c>
      <c r="N8" s="263">
        <f>H8-J8</f>
        <v>276600</v>
      </c>
      <c r="O8" s="245" t="e">
        <f>L8-#REF!</f>
        <v>#REF!</v>
      </c>
      <c r="P8" s="245" t="s">
        <v>697</v>
      </c>
    </row>
    <row r="9" spans="1:51" s="168" customFormat="1" ht="15" customHeight="1" x14ac:dyDescent="0.25">
      <c r="A9" s="261">
        <f t="shared" ref="A9:A72" si="1">A8+1</f>
        <v>3</v>
      </c>
      <c r="B9" s="239" t="s">
        <v>649</v>
      </c>
      <c r="C9" s="239" t="s">
        <v>603</v>
      </c>
      <c r="D9" s="239">
        <v>60</v>
      </c>
      <c r="E9" s="208">
        <v>2013</v>
      </c>
      <c r="F9" s="240">
        <v>1</v>
      </c>
      <c r="G9" s="240">
        <v>1</v>
      </c>
      <c r="H9" s="234">
        <f>D9*25000</f>
        <v>1500000</v>
      </c>
      <c r="I9" s="245"/>
      <c r="J9" s="246">
        <f>D9*22000</f>
        <v>1320000</v>
      </c>
      <c r="K9" s="246"/>
      <c r="L9" s="263">
        <f t="shared" si="0"/>
        <v>1320000</v>
      </c>
      <c r="M9" s="247">
        <f>1-J9/H9</f>
        <v>0.12</v>
      </c>
      <c r="N9" s="263">
        <f>H9-J9</f>
        <v>180000</v>
      </c>
      <c r="O9" s="245" t="e">
        <f>L9-#REF!</f>
        <v>#REF!</v>
      </c>
      <c r="P9" s="245"/>
    </row>
    <row r="10" spans="1:51" s="168" customFormat="1" ht="15" customHeight="1" x14ac:dyDescent="0.25">
      <c r="A10" s="261">
        <f t="shared" si="1"/>
        <v>4</v>
      </c>
      <c r="B10" s="239" t="s">
        <v>649</v>
      </c>
      <c r="C10" s="239" t="s">
        <v>604</v>
      </c>
      <c r="D10" s="239">
        <v>47.2</v>
      </c>
      <c r="E10" s="208">
        <v>2013</v>
      </c>
      <c r="F10" s="240">
        <v>10</v>
      </c>
      <c r="G10" s="240">
        <v>1</v>
      </c>
      <c r="H10" s="234">
        <f>D10*25000</f>
        <v>1180000</v>
      </c>
      <c r="I10" s="245"/>
      <c r="J10" s="246">
        <f>D10*22000</f>
        <v>1038400.0000000001</v>
      </c>
      <c r="K10" s="246"/>
      <c r="L10" s="263">
        <f t="shared" si="0"/>
        <v>1038400.0000000001</v>
      </c>
      <c r="M10" s="247">
        <f>1-J10/H10</f>
        <v>0.11999999999999988</v>
      </c>
      <c r="N10" s="263">
        <f>H10-J10</f>
        <v>141599.99999999988</v>
      </c>
      <c r="O10" s="245" t="e">
        <f>L10-#REF!</f>
        <v>#REF!</v>
      </c>
      <c r="P10" s="245"/>
    </row>
    <row r="11" spans="1:51" s="168" customFormat="1" ht="15" customHeight="1" x14ac:dyDescent="0.25">
      <c r="A11" s="261">
        <f t="shared" si="1"/>
        <v>5</v>
      </c>
      <c r="B11" s="239" t="s">
        <v>649</v>
      </c>
      <c r="C11" s="239" t="s">
        <v>647</v>
      </c>
      <c r="D11" s="239">
        <v>60</v>
      </c>
      <c r="E11" s="208">
        <v>2013</v>
      </c>
      <c r="F11" s="240">
        <v>7</v>
      </c>
      <c r="G11" s="240">
        <v>3</v>
      </c>
      <c r="H11" s="234">
        <f>D11*25000</f>
        <v>1500000</v>
      </c>
      <c r="I11" s="245"/>
      <c r="J11" s="248">
        <f>D11*22000</f>
        <v>1320000</v>
      </c>
      <c r="K11" s="248"/>
      <c r="L11" s="263">
        <f t="shared" si="0"/>
        <v>1320000</v>
      </c>
      <c r="M11" s="247">
        <f>1-J11/H11</f>
        <v>0.12</v>
      </c>
      <c r="N11" s="263">
        <f>H11-J11</f>
        <v>180000</v>
      </c>
      <c r="O11" s="245" t="e">
        <f>L11-#REF!</f>
        <v>#REF!</v>
      </c>
      <c r="P11" s="245"/>
    </row>
    <row r="12" spans="1:51" s="168" customFormat="1" ht="15" customHeight="1" x14ac:dyDescent="0.25">
      <c r="A12" s="261">
        <f t="shared" si="1"/>
        <v>6</v>
      </c>
      <c r="B12" s="239" t="s">
        <v>650</v>
      </c>
      <c r="C12" s="239" t="s">
        <v>601</v>
      </c>
      <c r="D12" s="239">
        <v>48.3</v>
      </c>
      <c r="E12" s="208">
        <v>2015</v>
      </c>
      <c r="F12" s="240">
        <v>3</v>
      </c>
      <c r="G12" s="240">
        <v>1</v>
      </c>
      <c r="H12" s="234">
        <f>D12*27500</f>
        <v>1328250</v>
      </c>
      <c r="I12" s="245"/>
      <c r="J12" s="246">
        <f>D12*20000</f>
        <v>966000</v>
      </c>
      <c r="K12" s="246"/>
      <c r="L12" s="263">
        <f t="shared" si="0"/>
        <v>966000</v>
      </c>
      <c r="M12" s="247">
        <f>1-J12/H12</f>
        <v>0.27272727272727271</v>
      </c>
      <c r="N12" s="263">
        <f>H12-J12</f>
        <v>362250</v>
      </c>
      <c r="O12" s="245" t="e">
        <f>L12-#REF!</f>
        <v>#REF!</v>
      </c>
      <c r="P12" s="245" t="s">
        <v>697</v>
      </c>
    </row>
    <row r="13" spans="1:51" s="168" customFormat="1" ht="15" customHeight="1" x14ac:dyDescent="0.25">
      <c r="A13" s="261">
        <f t="shared" si="1"/>
        <v>7</v>
      </c>
      <c r="B13" s="239" t="s">
        <v>650</v>
      </c>
      <c r="C13" s="239" t="s">
        <v>601</v>
      </c>
      <c r="D13" s="239">
        <v>48.1</v>
      </c>
      <c r="E13" s="208">
        <v>2015</v>
      </c>
      <c r="F13" s="240">
        <v>10</v>
      </c>
      <c r="G13" s="240">
        <v>3</v>
      </c>
      <c r="H13" s="234">
        <f>D13*27500</f>
        <v>1322750</v>
      </c>
      <c r="I13" s="245"/>
      <c r="J13" s="246">
        <f>D13*20000</f>
        <v>962000</v>
      </c>
      <c r="K13" s="246"/>
      <c r="L13" s="263">
        <f t="shared" si="0"/>
        <v>962000</v>
      </c>
      <c r="M13" s="247">
        <f>1-J13/H13</f>
        <v>0.27272727272727271</v>
      </c>
      <c r="N13" s="263">
        <f>H13-J13</f>
        <v>360750</v>
      </c>
      <c r="O13" s="245" t="e">
        <f>L13-#REF!</f>
        <v>#REF!</v>
      </c>
      <c r="P13" s="245" t="s">
        <v>697</v>
      </c>
    </row>
    <row r="14" spans="1:51" s="168" customFormat="1" ht="15" customHeight="1" x14ac:dyDescent="0.25">
      <c r="A14" s="261">
        <f t="shared" si="1"/>
        <v>8</v>
      </c>
      <c r="B14" s="239" t="s">
        <v>650</v>
      </c>
      <c r="C14" s="239" t="s">
        <v>601</v>
      </c>
      <c r="D14" s="239">
        <v>47.8</v>
      </c>
      <c r="E14" s="208">
        <v>2015</v>
      </c>
      <c r="F14" s="240">
        <v>14</v>
      </c>
      <c r="G14" s="240">
        <v>1</v>
      </c>
      <c r="H14" s="234">
        <f>D14*27500</f>
        <v>1314500</v>
      </c>
      <c r="I14" s="245"/>
      <c r="J14" s="246">
        <f>D14*20000</f>
        <v>956000</v>
      </c>
      <c r="K14" s="246"/>
      <c r="L14" s="263">
        <f t="shared" si="0"/>
        <v>956000</v>
      </c>
      <c r="M14" s="247">
        <f>1-J14/H14</f>
        <v>0.27272727272727271</v>
      </c>
      <c r="N14" s="263">
        <f>H14-J14</f>
        <v>358500</v>
      </c>
      <c r="O14" s="245" t="e">
        <f>L14-#REF!</f>
        <v>#REF!</v>
      </c>
      <c r="P14" s="245"/>
    </row>
    <row r="15" spans="1:51" s="168" customFormat="1" ht="15" customHeight="1" x14ac:dyDescent="0.25">
      <c r="A15" s="261">
        <f t="shared" si="1"/>
        <v>9</v>
      </c>
      <c r="B15" s="239" t="s">
        <v>650</v>
      </c>
      <c r="C15" s="239" t="s">
        <v>606</v>
      </c>
      <c r="D15" s="239">
        <v>48.3</v>
      </c>
      <c r="E15" s="208">
        <v>2015</v>
      </c>
      <c r="F15" s="240">
        <v>2</v>
      </c>
      <c r="G15" s="240">
        <v>1</v>
      </c>
      <c r="H15" s="234">
        <f>D15*27500</f>
        <v>1328250</v>
      </c>
      <c r="I15" s="245"/>
      <c r="J15" s="246">
        <f>D15*20000</f>
        <v>966000</v>
      </c>
      <c r="K15" s="246"/>
      <c r="L15" s="263">
        <f t="shared" si="0"/>
        <v>966000</v>
      </c>
      <c r="M15" s="247">
        <f>1-J15/H15</f>
        <v>0.27272727272727271</v>
      </c>
      <c r="N15" s="263">
        <f>H15-J15</f>
        <v>362250</v>
      </c>
      <c r="O15" s="245" t="e">
        <f>L15-#REF!</f>
        <v>#REF!</v>
      </c>
      <c r="P15" s="245"/>
    </row>
    <row r="16" spans="1:51" s="168" customFormat="1" ht="15" customHeight="1" x14ac:dyDescent="0.25">
      <c r="A16" s="261">
        <f t="shared" si="1"/>
        <v>10</v>
      </c>
      <c r="B16" s="239" t="s">
        <v>650</v>
      </c>
      <c r="C16" s="239" t="s">
        <v>606</v>
      </c>
      <c r="D16" s="245">
        <v>47.4</v>
      </c>
      <c r="E16" s="255">
        <v>2015</v>
      </c>
      <c r="F16" s="256">
        <v>1</v>
      </c>
      <c r="G16" s="256">
        <v>1</v>
      </c>
      <c r="H16" s="257">
        <f>D16*27500</f>
        <v>1303500</v>
      </c>
      <c r="I16" s="245"/>
      <c r="J16" s="246">
        <f>D16*20000</f>
        <v>948000</v>
      </c>
      <c r="K16" s="314"/>
      <c r="L16" s="263">
        <f t="shared" si="0"/>
        <v>948000</v>
      </c>
      <c r="M16" s="247">
        <f>1-J16/H16</f>
        <v>0.27272727272727271</v>
      </c>
      <c r="N16" s="263">
        <f>H16-J16</f>
        <v>355500</v>
      </c>
      <c r="O16" s="245"/>
      <c r="P16" s="245" t="s">
        <v>697</v>
      </c>
    </row>
    <row r="17" spans="1:16" s="168" customFormat="1" ht="15" customHeight="1" x14ac:dyDescent="0.25">
      <c r="A17" s="261">
        <f t="shared" si="1"/>
        <v>11</v>
      </c>
      <c r="B17" s="239" t="s">
        <v>641</v>
      </c>
      <c r="C17" s="239" t="s">
        <v>642</v>
      </c>
      <c r="D17" s="239">
        <v>26.2</v>
      </c>
      <c r="E17" s="208">
        <v>2017</v>
      </c>
      <c r="F17" s="240">
        <v>18</v>
      </c>
      <c r="G17" s="240">
        <v>1</v>
      </c>
      <c r="H17" s="234">
        <f>D17*28997</f>
        <v>759721.4</v>
      </c>
      <c r="I17" s="245"/>
      <c r="J17" s="249">
        <f>D17*25000</f>
        <v>655000</v>
      </c>
      <c r="K17" s="249"/>
      <c r="L17" s="250"/>
      <c r="M17" s="247">
        <f>1-J17/H17</f>
        <v>0.1378418457081767</v>
      </c>
      <c r="N17" s="263">
        <f>H17-J17</f>
        <v>104721.40000000002</v>
      </c>
      <c r="O17" s="245" t="e">
        <f>J17-#REF!</f>
        <v>#REF!</v>
      </c>
      <c r="P17" s="245"/>
    </row>
    <row r="18" spans="1:16" s="168" customFormat="1" ht="15" customHeight="1" x14ac:dyDescent="0.25">
      <c r="A18" s="261">
        <f t="shared" si="1"/>
        <v>12</v>
      </c>
      <c r="B18" s="239" t="s">
        <v>496</v>
      </c>
      <c r="C18" s="239" t="s">
        <v>602</v>
      </c>
      <c r="D18" s="239">
        <v>72.400000000000006</v>
      </c>
      <c r="E18" s="208">
        <v>2015</v>
      </c>
      <c r="F18" s="240">
        <v>8</v>
      </c>
      <c r="G18" s="240">
        <v>1</v>
      </c>
      <c r="H18" s="234">
        <f>D18*28000</f>
        <v>2027200.0000000002</v>
      </c>
      <c r="I18" s="245"/>
      <c r="J18" s="246">
        <f>D18*25000</f>
        <v>1810000.0000000002</v>
      </c>
      <c r="K18" s="246"/>
      <c r="L18" s="263"/>
      <c r="M18" s="247">
        <f>1-J18/H18</f>
        <v>0.1071428571428571</v>
      </c>
      <c r="N18" s="263">
        <f>H18-J18</f>
        <v>217200</v>
      </c>
      <c r="O18" s="245" t="e">
        <f>J18-#REF!</f>
        <v>#REF!</v>
      </c>
      <c r="P18" s="245"/>
    </row>
    <row r="19" spans="1:16" s="168" customFormat="1" ht="15" customHeight="1" x14ac:dyDescent="0.25">
      <c r="A19" s="261">
        <f t="shared" si="1"/>
        <v>13</v>
      </c>
      <c r="B19" s="239" t="s">
        <v>496</v>
      </c>
      <c r="C19" s="239" t="s">
        <v>602</v>
      </c>
      <c r="D19" s="239">
        <v>72.3</v>
      </c>
      <c r="E19" s="208">
        <v>2015</v>
      </c>
      <c r="F19" s="240">
        <v>28</v>
      </c>
      <c r="G19" s="240">
        <v>3</v>
      </c>
      <c r="H19" s="234">
        <f>D19*28000</f>
        <v>2024400</v>
      </c>
      <c r="I19" s="245"/>
      <c r="J19" s="246">
        <f>D19*25000</f>
        <v>1807500</v>
      </c>
      <c r="K19" s="246"/>
      <c r="L19" s="263"/>
      <c r="M19" s="247">
        <f>1-J19/H19</f>
        <v>0.1071428571428571</v>
      </c>
      <c r="N19" s="263">
        <f>H19-J19</f>
        <v>216900</v>
      </c>
      <c r="O19" s="245" t="e">
        <f>J19-#REF!</f>
        <v>#REF!</v>
      </c>
      <c r="P19" s="245"/>
    </row>
    <row r="20" spans="1:16" s="168" customFormat="1" ht="15" customHeight="1" x14ac:dyDescent="0.25">
      <c r="A20" s="261">
        <f t="shared" si="1"/>
        <v>14</v>
      </c>
      <c r="B20" s="239" t="s">
        <v>505</v>
      </c>
      <c r="C20" s="239" t="s">
        <v>506</v>
      </c>
      <c r="D20" s="239">
        <v>47.3</v>
      </c>
      <c r="E20" s="208">
        <v>2015</v>
      </c>
      <c r="F20" s="240">
        <v>17</v>
      </c>
      <c r="G20" s="240">
        <v>2</v>
      </c>
      <c r="H20" s="234">
        <f>D20*27000</f>
        <v>1277100</v>
      </c>
      <c r="I20" s="245"/>
      <c r="J20" s="246">
        <f>D20*19000</f>
        <v>898700</v>
      </c>
      <c r="K20" s="246"/>
      <c r="L20" s="263">
        <f>J20</f>
        <v>898700</v>
      </c>
      <c r="M20" s="247">
        <f>1-J20/H20</f>
        <v>0.29629629629629628</v>
      </c>
      <c r="N20" s="263">
        <f>H20-J20</f>
        <v>378400</v>
      </c>
      <c r="O20" s="245" t="e">
        <f>L20-#REF!</f>
        <v>#REF!</v>
      </c>
      <c r="P20" s="245"/>
    </row>
    <row r="21" spans="1:16" s="231" customFormat="1" ht="15" customHeight="1" x14ac:dyDescent="0.25">
      <c r="A21" s="261">
        <f t="shared" si="1"/>
        <v>15</v>
      </c>
      <c r="B21" s="239" t="s">
        <v>505</v>
      </c>
      <c r="C21" s="239" t="s">
        <v>506</v>
      </c>
      <c r="D21" s="239">
        <v>47.4</v>
      </c>
      <c r="E21" s="208">
        <v>2015</v>
      </c>
      <c r="F21" s="240">
        <v>21</v>
      </c>
      <c r="G21" s="240">
        <v>3</v>
      </c>
      <c r="H21" s="234">
        <f>D21*27000</f>
        <v>1279800</v>
      </c>
      <c r="I21" s="248"/>
      <c r="J21" s="246">
        <f>D21*19000</f>
        <v>900600</v>
      </c>
      <c r="K21" s="246"/>
      <c r="L21" s="263">
        <f>J21</f>
        <v>900600</v>
      </c>
      <c r="M21" s="247">
        <f>1-J21/H21</f>
        <v>0.29629629629629628</v>
      </c>
      <c r="N21" s="263">
        <f>H21-J21</f>
        <v>379200</v>
      </c>
      <c r="O21" s="245" t="e">
        <f>L21-#REF!</f>
        <v>#REF!</v>
      </c>
      <c r="P21" s="248"/>
    </row>
    <row r="22" spans="1:16" s="168" customFormat="1" ht="15" customHeight="1" x14ac:dyDescent="0.25">
      <c r="A22" s="261">
        <f t="shared" si="1"/>
        <v>16</v>
      </c>
      <c r="B22" s="239" t="s">
        <v>611</v>
      </c>
      <c r="C22" s="239" t="s">
        <v>612</v>
      </c>
      <c r="D22" s="239">
        <v>45</v>
      </c>
      <c r="E22" s="208">
        <v>2013</v>
      </c>
      <c r="F22" s="240">
        <v>2</v>
      </c>
      <c r="G22" s="240">
        <v>1</v>
      </c>
      <c r="H22" s="234">
        <f>D22*25000</f>
        <v>1125000</v>
      </c>
      <c r="I22" s="245"/>
      <c r="J22" s="248">
        <f>D22*19000</f>
        <v>855000</v>
      </c>
      <c r="K22" s="248"/>
      <c r="L22" s="251">
        <f>J22</f>
        <v>855000</v>
      </c>
      <c r="M22" s="247">
        <f>1-J22/H22</f>
        <v>0.24</v>
      </c>
      <c r="N22" s="263">
        <f>H22-J22</f>
        <v>270000</v>
      </c>
      <c r="O22" s="245" t="e">
        <f>L22-#REF!</f>
        <v>#REF!</v>
      </c>
      <c r="P22" s="245"/>
    </row>
    <row r="23" spans="1:16" s="168" customFormat="1" ht="15" customHeight="1" x14ac:dyDescent="0.25">
      <c r="A23" s="261">
        <f t="shared" si="1"/>
        <v>17</v>
      </c>
      <c r="B23" s="239" t="s">
        <v>613</v>
      </c>
      <c r="C23" s="239" t="s">
        <v>614</v>
      </c>
      <c r="D23" s="239">
        <v>46.4</v>
      </c>
      <c r="E23" s="208">
        <v>2013</v>
      </c>
      <c r="F23" s="240">
        <v>2</v>
      </c>
      <c r="G23" s="240">
        <v>1</v>
      </c>
      <c r="H23" s="234">
        <f>D23*25000</f>
        <v>1160000</v>
      </c>
      <c r="I23" s="245"/>
      <c r="J23" s="248">
        <f>D23*20000</f>
        <v>928000</v>
      </c>
      <c r="K23" s="248"/>
      <c r="L23" s="251">
        <f>J23</f>
        <v>928000</v>
      </c>
      <c r="M23" s="247">
        <f>1-J23/H23</f>
        <v>0.19999999999999996</v>
      </c>
      <c r="N23" s="263">
        <f>H23-J23</f>
        <v>232000</v>
      </c>
      <c r="O23" s="245" t="e">
        <f>L23-#REF!</f>
        <v>#REF!</v>
      </c>
      <c r="P23" s="245"/>
    </row>
    <row r="24" spans="1:16" s="168" customFormat="1" ht="15" customHeight="1" x14ac:dyDescent="0.25">
      <c r="A24" s="261">
        <f t="shared" si="1"/>
        <v>18</v>
      </c>
      <c r="B24" s="239" t="s">
        <v>613</v>
      </c>
      <c r="C24" s="239" t="s">
        <v>615</v>
      </c>
      <c r="D24" s="239">
        <v>45.8</v>
      </c>
      <c r="E24" s="208">
        <v>2013</v>
      </c>
      <c r="F24" s="240">
        <v>2</v>
      </c>
      <c r="G24" s="240">
        <v>1</v>
      </c>
      <c r="H24" s="234">
        <f>D24*25000</f>
        <v>1145000</v>
      </c>
      <c r="I24" s="245"/>
      <c r="J24" s="248">
        <f>D24*20000</f>
        <v>916000</v>
      </c>
      <c r="K24" s="248"/>
      <c r="L24" s="251">
        <f>J24</f>
        <v>916000</v>
      </c>
      <c r="M24" s="247">
        <f>1-J24/H24</f>
        <v>0.19999999999999996</v>
      </c>
      <c r="N24" s="263">
        <f>H24-J24</f>
        <v>229000</v>
      </c>
      <c r="O24" s="245" t="e">
        <f>L24-#REF!</f>
        <v>#REF!</v>
      </c>
      <c r="P24" s="245"/>
    </row>
    <row r="25" spans="1:16" s="168" customFormat="1" ht="15" x14ac:dyDescent="0.25">
      <c r="A25" s="261">
        <f t="shared" si="1"/>
        <v>19</v>
      </c>
      <c r="B25" s="239" t="s">
        <v>616</v>
      </c>
      <c r="C25" s="239" t="s">
        <v>617</v>
      </c>
      <c r="D25" s="239">
        <v>49</v>
      </c>
      <c r="E25" s="208">
        <v>2017</v>
      </c>
      <c r="F25" s="235">
        <v>4</v>
      </c>
      <c r="G25" s="235" t="s">
        <v>632</v>
      </c>
      <c r="H25" s="252">
        <f t="shared" ref="H25:H39" si="2">D25*34362</f>
        <v>1683738</v>
      </c>
      <c r="I25" s="245"/>
      <c r="J25" s="248">
        <f t="shared" ref="J25:J39" si="3">D25*28000</f>
        <v>1372000</v>
      </c>
      <c r="K25" s="248"/>
      <c r="L25" s="251"/>
      <c r="M25" s="247">
        <f>1-J25/H25</f>
        <v>0.18514638263197714</v>
      </c>
      <c r="N25" s="263">
        <f>H25-J25</f>
        <v>311738</v>
      </c>
      <c r="O25" s="245" t="e">
        <f>J25-#REF!</f>
        <v>#REF!</v>
      </c>
      <c r="P25" s="245"/>
    </row>
    <row r="26" spans="1:16" s="168" customFormat="1" ht="15" x14ac:dyDescent="0.25">
      <c r="A26" s="261">
        <f t="shared" si="1"/>
        <v>20</v>
      </c>
      <c r="B26" s="239" t="s">
        <v>616</v>
      </c>
      <c r="C26" s="239" t="s">
        <v>617</v>
      </c>
      <c r="D26" s="239">
        <v>62.4</v>
      </c>
      <c r="E26" s="208">
        <v>2017</v>
      </c>
      <c r="F26" s="235" t="s">
        <v>618</v>
      </c>
      <c r="G26" s="235" t="s">
        <v>632</v>
      </c>
      <c r="H26" s="252">
        <f t="shared" si="2"/>
        <v>2144188.7999999998</v>
      </c>
      <c r="I26" s="245"/>
      <c r="J26" s="248">
        <f t="shared" si="3"/>
        <v>1747200</v>
      </c>
      <c r="K26" s="248"/>
      <c r="L26" s="251"/>
      <c r="M26" s="247">
        <f>1-J26/H26</f>
        <v>0.18514638263197714</v>
      </c>
      <c r="N26" s="263">
        <f>H26-J26</f>
        <v>396988.79999999981</v>
      </c>
      <c r="O26" s="245" t="e">
        <f>J26-#REF!</f>
        <v>#REF!</v>
      </c>
      <c r="P26" s="245"/>
    </row>
    <row r="27" spans="1:16" s="168" customFormat="1" ht="15" x14ac:dyDescent="0.25">
      <c r="A27" s="261">
        <f t="shared" si="1"/>
        <v>21</v>
      </c>
      <c r="B27" s="239" t="s">
        <v>616</v>
      </c>
      <c r="C27" s="239" t="s">
        <v>617</v>
      </c>
      <c r="D27" s="239">
        <v>51.2</v>
      </c>
      <c r="E27" s="208">
        <v>2017</v>
      </c>
      <c r="F27" s="235" t="s">
        <v>619</v>
      </c>
      <c r="G27" s="235" t="s">
        <v>632</v>
      </c>
      <c r="H27" s="252">
        <f t="shared" si="2"/>
        <v>1759334.4000000001</v>
      </c>
      <c r="I27" s="245"/>
      <c r="J27" s="248">
        <f t="shared" si="3"/>
        <v>1433600</v>
      </c>
      <c r="K27" s="248"/>
      <c r="L27" s="251"/>
      <c r="M27" s="247">
        <f>1-J27/H27</f>
        <v>0.18514638263197725</v>
      </c>
      <c r="N27" s="263">
        <f>H27-J27</f>
        <v>325734.40000000014</v>
      </c>
      <c r="O27" s="245" t="e">
        <f>J27-#REF!</f>
        <v>#REF!</v>
      </c>
      <c r="P27" s="245"/>
    </row>
    <row r="28" spans="1:16" s="168" customFormat="1" ht="15" x14ac:dyDescent="0.25">
      <c r="A28" s="261">
        <f t="shared" si="1"/>
        <v>22</v>
      </c>
      <c r="B28" s="239" t="s">
        <v>616</v>
      </c>
      <c r="C28" s="239" t="s">
        <v>617</v>
      </c>
      <c r="D28" s="239">
        <v>49.9</v>
      </c>
      <c r="E28" s="208">
        <v>2017</v>
      </c>
      <c r="F28" s="235" t="s">
        <v>620</v>
      </c>
      <c r="G28" s="235" t="s">
        <v>632</v>
      </c>
      <c r="H28" s="252">
        <f t="shared" si="2"/>
        <v>1714663.8</v>
      </c>
      <c r="I28" s="245"/>
      <c r="J28" s="248">
        <f t="shared" si="3"/>
        <v>1397200</v>
      </c>
      <c r="K28" s="248"/>
      <c r="L28" s="251"/>
      <c r="M28" s="247">
        <f>1-J28/H28</f>
        <v>0.18514638263197725</v>
      </c>
      <c r="N28" s="263">
        <f>H28-J28</f>
        <v>317463.80000000005</v>
      </c>
      <c r="O28" s="245" t="e">
        <f>J28-#REF!</f>
        <v>#REF!</v>
      </c>
      <c r="P28" s="245"/>
    </row>
    <row r="29" spans="1:16" s="168" customFormat="1" ht="15" x14ac:dyDescent="0.25">
      <c r="A29" s="261">
        <f t="shared" si="1"/>
        <v>23</v>
      </c>
      <c r="B29" s="239" t="s">
        <v>616</v>
      </c>
      <c r="C29" s="239" t="s">
        <v>617</v>
      </c>
      <c r="D29" s="239">
        <v>62.5</v>
      </c>
      <c r="E29" s="208">
        <v>2017</v>
      </c>
      <c r="F29" s="235" t="s">
        <v>621</v>
      </c>
      <c r="G29" s="235" t="s">
        <v>632</v>
      </c>
      <c r="H29" s="252">
        <f t="shared" si="2"/>
        <v>2147625</v>
      </c>
      <c r="I29" s="245"/>
      <c r="J29" s="248">
        <f t="shared" si="3"/>
        <v>1750000</v>
      </c>
      <c r="K29" s="248"/>
      <c r="L29" s="251"/>
      <c r="M29" s="247">
        <f>1-J29/H29</f>
        <v>0.18514638263197714</v>
      </c>
      <c r="N29" s="263">
        <f>H29-J29</f>
        <v>397625</v>
      </c>
      <c r="O29" s="245" t="e">
        <f>J29-#REF!</f>
        <v>#REF!</v>
      </c>
      <c r="P29" s="245"/>
    </row>
    <row r="30" spans="1:16" s="168" customFormat="1" ht="15" x14ac:dyDescent="0.25">
      <c r="A30" s="261">
        <f t="shared" si="1"/>
        <v>24</v>
      </c>
      <c r="B30" s="239" t="s">
        <v>616</v>
      </c>
      <c r="C30" s="239" t="s">
        <v>617</v>
      </c>
      <c r="D30" s="239">
        <v>49.7</v>
      </c>
      <c r="E30" s="208">
        <v>2017</v>
      </c>
      <c r="F30" s="235" t="s">
        <v>622</v>
      </c>
      <c r="G30" s="235" t="s">
        <v>633</v>
      </c>
      <c r="H30" s="252">
        <f t="shared" si="2"/>
        <v>1707791.4000000001</v>
      </c>
      <c r="I30" s="245"/>
      <c r="J30" s="248">
        <f t="shared" si="3"/>
        <v>1391600</v>
      </c>
      <c r="K30" s="248"/>
      <c r="L30" s="251"/>
      <c r="M30" s="247">
        <f>1-J30/H30</f>
        <v>0.18514638263197725</v>
      </c>
      <c r="N30" s="263">
        <f>H30-J30</f>
        <v>316191.40000000014</v>
      </c>
      <c r="O30" s="245" t="e">
        <f>J30-#REF!</f>
        <v>#REF!</v>
      </c>
      <c r="P30" s="245"/>
    </row>
    <row r="31" spans="1:16" s="168" customFormat="1" ht="15" x14ac:dyDescent="0.25">
      <c r="A31" s="261">
        <f t="shared" si="1"/>
        <v>25</v>
      </c>
      <c r="B31" s="239" t="s">
        <v>616</v>
      </c>
      <c r="C31" s="239" t="s">
        <v>617</v>
      </c>
      <c r="D31" s="239">
        <v>62.3</v>
      </c>
      <c r="E31" s="208">
        <v>2017</v>
      </c>
      <c r="F31" s="235" t="s">
        <v>623</v>
      </c>
      <c r="G31" s="235" t="s">
        <v>633</v>
      </c>
      <c r="H31" s="252">
        <f t="shared" si="2"/>
        <v>2140752.6</v>
      </c>
      <c r="I31" s="245"/>
      <c r="J31" s="248">
        <f t="shared" si="3"/>
        <v>1744400</v>
      </c>
      <c r="K31" s="248"/>
      <c r="L31" s="251"/>
      <c r="M31" s="247">
        <f>1-J31/H31</f>
        <v>0.18514638263197725</v>
      </c>
      <c r="N31" s="263">
        <f>H31-J31</f>
        <v>396352.60000000009</v>
      </c>
      <c r="O31" s="245" t="e">
        <f>J31-#REF!</f>
        <v>#REF!</v>
      </c>
      <c r="P31" s="245"/>
    </row>
    <row r="32" spans="1:16" s="168" customFormat="1" ht="15" x14ac:dyDescent="0.25">
      <c r="A32" s="261">
        <f t="shared" si="1"/>
        <v>26</v>
      </c>
      <c r="B32" s="239" t="s">
        <v>616</v>
      </c>
      <c r="C32" s="239" t="s">
        <v>617</v>
      </c>
      <c r="D32" s="239">
        <v>51.4</v>
      </c>
      <c r="E32" s="208">
        <v>2017</v>
      </c>
      <c r="F32" s="235" t="s">
        <v>624</v>
      </c>
      <c r="G32" s="235" t="s">
        <v>633</v>
      </c>
      <c r="H32" s="252">
        <f t="shared" si="2"/>
        <v>1766206.8</v>
      </c>
      <c r="I32" s="245"/>
      <c r="J32" s="248">
        <f t="shared" si="3"/>
        <v>1439200</v>
      </c>
      <c r="K32" s="248"/>
      <c r="L32" s="251"/>
      <c r="M32" s="247">
        <f>1-J32/H32</f>
        <v>0.18514638263197725</v>
      </c>
      <c r="N32" s="263">
        <f>H32-J32</f>
        <v>327006.80000000005</v>
      </c>
      <c r="O32" s="245" t="e">
        <f>J32-#REF!</f>
        <v>#REF!</v>
      </c>
      <c r="P32" s="245"/>
    </row>
    <row r="33" spans="1:16" s="168" customFormat="1" ht="15" x14ac:dyDescent="0.25">
      <c r="A33" s="261">
        <f t="shared" si="1"/>
        <v>27</v>
      </c>
      <c r="B33" s="239" t="s">
        <v>616</v>
      </c>
      <c r="C33" s="239" t="s">
        <v>617</v>
      </c>
      <c r="D33" s="239">
        <v>51.4</v>
      </c>
      <c r="E33" s="208">
        <v>2017</v>
      </c>
      <c r="F33" s="235" t="s">
        <v>625</v>
      </c>
      <c r="G33" s="235" t="s">
        <v>633</v>
      </c>
      <c r="H33" s="252">
        <f t="shared" si="2"/>
        <v>1766206.8</v>
      </c>
      <c r="I33" s="245"/>
      <c r="J33" s="248">
        <f t="shared" si="3"/>
        <v>1439200</v>
      </c>
      <c r="K33" s="248"/>
      <c r="L33" s="251"/>
      <c r="M33" s="247">
        <f>1-J33/H33</f>
        <v>0.18514638263197725</v>
      </c>
      <c r="N33" s="263">
        <f>H33-J33</f>
        <v>327006.80000000005</v>
      </c>
      <c r="O33" s="245" t="e">
        <f>J33-#REF!</f>
        <v>#REF!</v>
      </c>
      <c r="P33" s="245"/>
    </row>
    <row r="34" spans="1:16" s="168" customFormat="1" ht="15" x14ac:dyDescent="0.25">
      <c r="A34" s="261">
        <f t="shared" si="1"/>
        <v>28</v>
      </c>
      <c r="B34" s="239" t="s">
        <v>616</v>
      </c>
      <c r="C34" s="239" t="s">
        <v>617</v>
      </c>
      <c r="D34" s="239">
        <v>62.7</v>
      </c>
      <c r="E34" s="208">
        <v>2017</v>
      </c>
      <c r="F34" s="235" t="s">
        <v>626</v>
      </c>
      <c r="G34" s="235" t="s">
        <v>633</v>
      </c>
      <c r="H34" s="252">
        <f t="shared" si="2"/>
        <v>2154497.4</v>
      </c>
      <c r="I34" s="245"/>
      <c r="J34" s="248">
        <f t="shared" si="3"/>
        <v>1755600</v>
      </c>
      <c r="K34" s="248"/>
      <c r="L34" s="251"/>
      <c r="M34" s="247">
        <f>1-J34/H34</f>
        <v>0.18514638263197714</v>
      </c>
      <c r="N34" s="263">
        <f>H34-J34</f>
        <v>398897.39999999991</v>
      </c>
      <c r="O34" s="245" t="e">
        <f>J34-#REF!</f>
        <v>#REF!</v>
      </c>
      <c r="P34" s="245"/>
    </row>
    <row r="35" spans="1:16" s="168" customFormat="1" ht="15" x14ac:dyDescent="0.25">
      <c r="A35" s="261">
        <f t="shared" si="1"/>
        <v>29</v>
      </c>
      <c r="B35" s="239" t="s">
        <v>616</v>
      </c>
      <c r="C35" s="239" t="s">
        <v>617</v>
      </c>
      <c r="D35" s="239">
        <v>49.9</v>
      </c>
      <c r="E35" s="208">
        <v>2017</v>
      </c>
      <c r="F35" s="235" t="s">
        <v>627</v>
      </c>
      <c r="G35" s="235" t="s">
        <v>634</v>
      </c>
      <c r="H35" s="252">
        <f t="shared" si="2"/>
        <v>1714663.8</v>
      </c>
      <c r="I35" s="245"/>
      <c r="J35" s="248">
        <f t="shared" si="3"/>
        <v>1397200</v>
      </c>
      <c r="K35" s="248"/>
      <c r="L35" s="251"/>
      <c r="M35" s="247">
        <f>1-J35/H35</f>
        <v>0.18514638263197725</v>
      </c>
      <c r="N35" s="263">
        <f>H35-J35</f>
        <v>317463.80000000005</v>
      </c>
      <c r="O35" s="245" t="e">
        <f>J35-#REF!</f>
        <v>#REF!</v>
      </c>
      <c r="P35" s="245"/>
    </row>
    <row r="36" spans="1:16" s="168" customFormat="1" ht="15" x14ac:dyDescent="0.25">
      <c r="A36" s="261">
        <f t="shared" si="1"/>
        <v>30</v>
      </c>
      <c r="B36" s="239" t="s">
        <v>616</v>
      </c>
      <c r="C36" s="239" t="s">
        <v>617</v>
      </c>
      <c r="D36" s="239">
        <v>62.3</v>
      </c>
      <c r="E36" s="208">
        <v>2017</v>
      </c>
      <c r="F36" s="235" t="s">
        <v>628</v>
      </c>
      <c r="G36" s="235" t="s">
        <v>634</v>
      </c>
      <c r="H36" s="252">
        <f t="shared" si="2"/>
        <v>2140752.6</v>
      </c>
      <c r="I36" s="245"/>
      <c r="J36" s="248">
        <f t="shared" si="3"/>
        <v>1744400</v>
      </c>
      <c r="K36" s="248"/>
      <c r="L36" s="251"/>
      <c r="M36" s="247">
        <f>1-J36/H36</f>
        <v>0.18514638263197725</v>
      </c>
      <c r="N36" s="263">
        <f>H36-J36</f>
        <v>396352.60000000009</v>
      </c>
      <c r="O36" s="245" t="e">
        <f>J36-#REF!</f>
        <v>#REF!</v>
      </c>
      <c r="P36" s="245"/>
    </row>
    <row r="37" spans="1:16" s="168" customFormat="1" ht="15" x14ac:dyDescent="0.25">
      <c r="A37" s="261">
        <f t="shared" si="1"/>
        <v>31</v>
      </c>
      <c r="B37" s="239" t="s">
        <v>616</v>
      </c>
      <c r="C37" s="239" t="s">
        <v>617</v>
      </c>
      <c r="D37" s="239">
        <v>52.2</v>
      </c>
      <c r="E37" s="208">
        <v>2017</v>
      </c>
      <c r="F37" s="235" t="s">
        <v>629</v>
      </c>
      <c r="G37" s="235" t="s">
        <v>634</v>
      </c>
      <c r="H37" s="252">
        <f t="shared" si="2"/>
        <v>1793696.4000000001</v>
      </c>
      <c r="I37" s="245"/>
      <c r="J37" s="248">
        <f t="shared" si="3"/>
        <v>1461600</v>
      </c>
      <c r="K37" s="248"/>
      <c r="L37" s="251"/>
      <c r="M37" s="247">
        <f>1-J37/H37</f>
        <v>0.18514638263197725</v>
      </c>
      <c r="N37" s="263">
        <f>H37-J37</f>
        <v>332096.40000000014</v>
      </c>
      <c r="O37" s="245" t="e">
        <f>J37-#REF!</f>
        <v>#REF!</v>
      </c>
      <c r="P37" s="245"/>
    </row>
    <row r="38" spans="1:16" s="168" customFormat="1" ht="15" x14ac:dyDescent="0.25">
      <c r="A38" s="261">
        <f t="shared" si="1"/>
        <v>32</v>
      </c>
      <c r="B38" s="239" t="s">
        <v>616</v>
      </c>
      <c r="C38" s="239" t="s">
        <v>617</v>
      </c>
      <c r="D38" s="239">
        <v>51.3</v>
      </c>
      <c r="E38" s="208">
        <v>2017</v>
      </c>
      <c r="F38" s="235" t="s">
        <v>630</v>
      </c>
      <c r="G38" s="235" t="s">
        <v>634</v>
      </c>
      <c r="H38" s="252">
        <f t="shared" si="2"/>
        <v>1762770.5999999999</v>
      </c>
      <c r="I38" s="245"/>
      <c r="J38" s="248">
        <f t="shared" si="3"/>
        <v>1436400</v>
      </c>
      <c r="K38" s="248"/>
      <c r="L38" s="251"/>
      <c r="M38" s="247">
        <f>1-J38/H38</f>
        <v>0.18514638263197714</v>
      </c>
      <c r="N38" s="263">
        <f>H38-J38</f>
        <v>326370.59999999986</v>
      </c>
      <c r="O38" s="245" t="e">
        <f>J38-#REF!</f>
        <v>#REF!</v>
      </c>
      <c r="P38" s="245"/>
    </row>
    <row r="39" spans="1:16" s="168" customFormat="1" ht="15" x14ac:dyDescent="0.25">
      <c r="A39" s="261">
        <f t="shared" si="1"/>
        <v>33</v>
      </c>
      <c r="B39" s="239" t="s">
        <v>616</v>
      </c>
      <c r="C39" s="239" t="s">
        <v>617</v>
      </c>
      <c r="D39" s="239">
        <v>62.8</v>
      </c>
      <c r="E39" s="208">
        <v>2017</v>
      </c>
      <c r="F39" s="235" t="s">
        <v>631</v>
      </c>
      <c r="G39" s="235" t="s">
        <v>634</v>
      </c>
      <c r="H39" s="252">
        <f t="shared" si="2"/>
        <v>2157933.6</v>
      </c>
      <c r="I39" s="245"/>
      <c r="J39" s="248">
        <f t="shared" si="3"/>
        <v>1758400</v>
      </c>
      <c r="K39" s="248"/>
      <c r="L39" s="251"/>
      <c r="M39" s="247">
        <f>1-J39/H39</f>
        <v>0.18514638263197725</v>
      </c>
      <c r="N39" s="263">
        <f>H39-J39</f>
        <v>399533.60000000009</v>
      </c>
      <c r="O39" s="245" t="e">
        <f>J39-#REF!</f>
        <v>#REF!</v>
      </c>
      <c r="P39" s="245"/>
    </row>
    <row r="40" spans="1:16" s="168" customFormat="1" ht="15" x14ac:dyDescent="0.25">
      <c r="A40" s="261">
        <f t="shared" si="1"/>
        <v>34</v>
      </c>
      <c r="B40" s="239" t="s">
        <v>610</v>
      </c>
      <c r="C40" s="239" t="s">
        <v>635</v>
      </c>
      <c r="D40" s="238">
        <v>58.9</v>
      </c>
      <c r="E40" s="208">
        <v>2017</v>
      </c>
      <c r="F40" s="235">
        <v>43</v>
      </c>
      <c r="G40" s="235" t="s">
        <v>632</v>
      </c>
      <c r="H40" s="252">
        <f>D40*32681</f>
        <v>1924910.9</v>
      </c>
      <c r="I40" s="245"/>
      <c r="J40" s="248">
        <f>D40*30000</f>
        <v>1767000</v>
      </c>
      <c r="K40" s="248"/>
      <c r="L40" s="251"/>
      <c r="M40" s="247">
        <f>1-J40/H40</f>
        <v>8.2035433432269489E-2</v>
      </c>
      <c r="N40" s="263">
        <f>H40-J40</f>
        <v>157910.89999999991</v>
      </c>
      <c r="O40" s="245" t="e">
        <f>J40-#REF!</f>
        <v>#REF!</v>
      </c>
      <c r="P40" s="245"/>
    </row>
    <row r="41" spans="1:16" s="168" customFormat="1" ht="15" x14ac:dyDescent="0.25">
      <c r="A41" s="261">
        <f t="shared" si="1"/>
        <v>35</v>
      </c>
      <c r="B41" s="239" t="s">
        <v>610</v>
      </c>
      <c r="C41" s="239" t="s">
        <v>635</v>
      </c>
      <c r="D41" s="238">
        <v>60.2</v>
      </c>
      <c r="E41" s="208">
        <v>2017</v>
      </c>
      <c r="F41" s="235">
        <v>47</v>
      </c>
      <c r="G41" s="235" t="s">
        <v>633</v>
      </c>
      <c r="H41" s="252">
        <f>D41*32681</f>
        <v>1967396.2000000002</v>
      </c>
      <c r="I41" s="245"/>
      <c r="J41" s="248">
        <f>D41*30000</f>
        <v>1806000</v>
      </c>
      <c r="K41" s="248"/>
      <c r="L41" s="251"/>
      <c r="M41" s="247">
        <f>1-J41/H41</f>
        <v>8.20354334322696E-2</v>
      </c>
      <c r="N41" s="263">
        <f>H41-J41</f>
        <v>161396.20000000019</v>
      </c>
      <c r="O41" s="245" t="e">
        <f>J41-#REF!</f>
        <v>#REF!</v>
      </c>
      <c r="P41" s="245" t="s">
        <v>697</v>
      </c>
    </row>
    <row r="42" spans="1:16" s="168" customFormat="1" ht="15" x14ac:dyDescent="0.25">
      <c r="A42" s="261">
        <f t="shared" si="1"/>
        <v>36</v>
      </c>
      <c r="B42" s="239" t="s">
        <v>610</v>
      </c>
      <c r="C42" s="239" t="s">
        <v>635</v>
      </c>
      <c r="D42" s="238">
        <v>59.9</v>
      </c>
      <c r="E42" s="208">
        <v>2017</v>
      </c>
      <c r="F42" s="235">
        <v>51</v>
      </c>
      <c r="G42" s="235" t="s">
        <v>634</v>
      </c>
      <c r="H42" s="252">
        <f>D42*32681</f>
        <v>1957591.9</v>
      </c>
      <c r="I42" s="245"/>
      <c r="J42" s="248">
        <f>D42*30000</f>
        <v>1797000</v>
      </c>
      <c r="K42" s="248"/>
      <c r="L42" s="251"/>
      <c r="M42" s="247">
        <f>1-J42/H42</f>
        <v>8.2035433432269489E-2</v>
      </c>
      <c r="N42" s="263">
        <f>H42-J42</f>
        <v>160591.89999999991</v>
      </c>
      <c r="O42" s="245" t="e">
        <f>J42-#REF!</f>
        <v>#REF!</v>
      </c>
      <c r="P42" s="245"/>
    </row>
    <row r="43" spans="1:16" s="168" customFormat="1" ht="15" x14ac:dyDescent="0.25">
      <c r="A43" s="261">
        <f t="shared" si="1"/>
        <v>37</v>
      </c>
      <c r="B43" s="239" t="s">
        <v>610</v>
      </c>
      <c r="C43" s="239" t="s">
        <v>635</v>
      </c>
      <c r="D43" s="238">
        <v>60.1</v>
      </c>
      <c r="E43" s="208">
        <v>2017</v>
      </c>
      <c r="F43" s="235">
        <v>55</v>
      </c>
      <c r="G43" s="235" t="s">
        <v>636</v>
      </c>
      <c r="H43" s="252">
        <f>D43*32681</f>
        <v>1964128.1</v>
      </c>
      <c r="I43" s="245"/>
      <c r="J43" s="248">
        <f>D43*30000</f>
        <v>1803000</v>
      </c>
      <c r="K43" s="248"/>
      <c r="L43" s="251"/>
      <c r="M43" s="247">
        <f>1-J43/H43</f>
        <v>8.20354334322696E-2</v>
      </c>
      <c r="N43" s="263">
        <f>H43-J43</f>
        <v>161128.10000000009</v>
      </c>
      <c r="O43" s="245" t="e">
        <f>J43-#REF!</f>
        <v>#REF!</v>
      </c>
      <c r="P43" s="245"/>
    </row>
    <row r="44" spans="1:16" s="168" customFormat="1" ht="15" x14ac:dyDescent="0.25">
      <c r="A44" s="261">
        <f t="shared" si="1"/>
        <v>38</v>
      </c>
      <c r="B44" s="239" t="s">
        <v>610</v>
      </c>
      <c r="C44" s="239" t="s">
        <v>635</v>
      </c>
      <c r="D44" s="238">
        <v>59.8</v>
      </c>
      <c r="E44" s="208">
        <v>2017</v>
      </c>
      <c r="F44" s="235">
        <v>59</v>
      </c>
      <c r="G44" s="235" t="s">
        <v>637</v>
      </c>
      <c r="H44" s="252">
        <f>D44*32681</f>
        <v>1954323.7999999998</v>
      </c>
      <c r="I44" s="245"/>
      <c r="J44" s="248">
        <f>D44*30000</f>
        <v>1794000</v>
      </c>
      <c r="K44" s="248"/>
      <c r="L44" s="251"/>
      <c r="M44" s="247">
        <f>1-J44/H44</f>
        <v>8.2035433432269378E-2</v>
      </c>
      <c r="N44" s="263">
        <f>H44-J44</f>
        <v>160323.79999999981</v>
      </c>
      <c r="O44" s="245" t="e">
        <f>J44-#REF!</f>
        <v>#REF!</v>
      </c>
      <c r="P44" s="245"/>
    </row>
    <row r="45" spans="1:16" s="168" customFormat="1" ht="15" customHeight="1" x14ac:dyDescent="0.25">
      <c r="A45" s="261">
        <f t="shared" si="1"/>
        <v>39</v>
      </c>
      <c r="B45" s="239" t="s">
        <v>639</v>
      </c>
      <c r="C45" s="239" t="s">
        <v>640</v>
      </c>
      <c r="D45" s="239">
        <v>63.1</v>
      </c>
      <c r="E45" s="208">
        <v>2016</v>
      </c>
      <c r="F45" s="240">
        <v>13</v>
      </c>
      <c r="G45" s="240">
        <v>1</v>
      </c>
      <c r="H45" s="234">
        <f>D45*32315</f>
        <v>2039076.5</v>
      </c>
      <c r="I45" s="245"/>
      <c r="J45" s="248">
        <f>D45*25000</f>
        <v>1577500</v>
      </c>
      <c r="K45" s="248"/>
      <c r="L45" s="251"/>
      <c r="M45" s="247">
        <f>1-J45/H45</f>
        <v>0.22636546495435561</v>
      </c>
      <c r="N45" s="263">
        <f>H45-J45</f>
        <v>461576.5</v>
      </c>
      <c r="O45" s="245" t="e">
        <f>J45-#REF!</f>
        <v>#REF!</v>
      </c>
      <c r="P45" s="245"/>
    </row>
    <row r="46" spans="1:16" s="168" customFormat="1" x14ac:dyDescent="0.25">
      <c r="A46" s="261">
        <f t="shared" si="1"/>
        <v>40</v>
      </c>
      <c r="B46" s="239" t="s">
        <v>639</v>
      </c>
      <c r="C46" s="241" t="s">
        <v>654</v>
      </c>
      <c r="D46" s="242">
        <v>63.3</v>
      </c>
      <c r="E46" s="208">
        <v>2016</v>
      </c>
      <c r="F46" s="243" t="s">
        <v>628</v>
      </c>
      <c r="G46" s="243" t="s">
        <v>634</v>
      </c>
      <c r="H46" s="234">
        <f>D46*32315</f>
        <v>2045539.5</v>
      </c>
      <c r="I46" s="245"/>
      <c r="J46" s="248">
        <f>D46*25000</f>
        <v>1582500</v>
      </c>
      <c r="K46" s="248"/>
      <c r="L46" s="251"/>
      <c r="M46" s="247">
        <f>1-J46/H46</f>
        <v>0.22636546495435561</v>
      </c>
      <c r="N46" s="263">
        <f>H46-J46</f>
        <v>463039.5</v>
      </c>
      <c r="O46" s="245" t="e">
        <f>J46-#REF!</f>
        <v>#REF!</v>
      </c>
      <c r="P46" s="245"/>
    </row>
    <row r="47" spans="1:16" s="168" customFormat="1" x14ac:dyDescent="0.25">
      <c r="A47" s="261">
        <f t="shared" si="1"/>
        <v>41</v>
      </c>
      <c r="B47" s="239" t="s">
        <v>639</v>
      </c>
      <c r="C47" s="241" t="s">
        <v>654</v>
      </c>
      <c r="D47" s="242">
        <v>62.2</v>
      </c>
      <c r="E47" s="208">
        <v>2016</v>
      </c>
      <c r="F47" s="243">
        <v>16</v>
      </c>
      <c r="G47" s="243">
        <v>2</v>
      </c>
      <c r="H47" s="234">
        <f>D47*32315</f>
        <v>2009993</v>
      </c>
      <c r="I47" s="245"/>
      <c r="J47" s="248">
        <f>D47*25000</f>
        <v>1555000</v>
      </c>
      <c r="K47" s="248"/>
      <c r="L47" s="251"/>
      <c r="M47" s="247">
        <f>1-J47/H47</f>
        <v>0.22636546495435561</v>
      </c>
      <c r="N47" s="263">
        <f>H47-J47</f>
        <v>454993</v>
      </c>
      <c r="O47" s="245" t="e">
        <f>J47-#REF!</f>
        <v>#REF!</v>
      </c>
      <c r="P47" s="245"/>
    </row>
    <row r="48" spans="1:16" s="168" customFormat="1" ht="27.75" customHeight="1" x14ac:dyDescent="0.25">
      <c r="A48" s="261">
        <f t="shared" si="1"/>
        <v>42</v>
      </c>
      <c r="B48" s="239" t="s">
        <v>643</v>
      </c>
      <c r="C48" s="239" t="s">
        <v>644</v>
      </c>
      <c r="D48" s="239">
        <v>61.6</v>
      </c>
      <c r="E48" s="208">
        <v>2016</v>
      </c>
      <c r="F48" s="240">
        <v>21</v>
      </c>
      <c r="G48" s="240">
        <v>6</v>
      </c>
      <c r="H48" s="234">
        <f>D48*31000</f>
        <v>1909600</v>
      </c>
      <c r="I48" s="245"/>
      <c r="J48" s="248">
        <f>D48*27000</f>
        <v>1663200</v>
      </c>
      <c r="K48" s="248"/>
      <c r="L48" s="259">
        <f>J48</f>
        <v>1663200</v>
      </c>
      <c r="M48" s="247">
        <f>1-J48/H48</f>
        <v>0.12903225806451613</v>
      </c>
      <c r="N48" s="263">
        <f>H48-J48</f>
        <v>246400</v>
      </c>
      <c r="O48" s="245" t="e">
        <f>J48-#REF!</f>
        <v>#REF!</v>
      </c>
      <c r="P48" s="245" t="s">
        <v>697</v>
      </c>
    </row>
    <row r="49" spans="1:16" s="168" customFormat="1" ht="15" customHeight="1" x14ac:dyDescent="0.25">
      <c r="A49" s="261">
        <f t="shared" si="1"/>
        <v>43</v>
      </c>
      <c r="B49" s="239" t="s">
        <v>645</v>
      </c>
      <c r="C49" s="239" t="s">
        <v>646</v>
      </c>
      <c r="D49" s="239">
        <v>28.5</v>
      </c>
      <c r="E49" s="208">
        <v>2016</v>
      </c>
      <c r="F49" s="240">
        <v>11</v>
      </c>
      <c r="G49" s="240">
        <v>1</v>
      </c>
      <c r="H49" s="234">
        <f>D49*39030</f>
        <v>1112355</v>
      </c>
      <c r="I49" s="245"/>
      <c r="J49" s="248">
        <f>D49*35000</f>
        <v>997500</v>
      </c>
      <c r="K49" s="248"/>
      <c r="L49" s="251"/>
      <c r="M49" s="247">
        <f>1-J49/H49</f>
        <v>0.10325390725083272</v>
      </c>
      <c r="N49" s="263">
        <f>H49-J49</f>
        <v>114855</v>
      </c>
      <c r="O49" s="245" t="e">
        <f>J49-#REF!</f>
        <v>#REF!</v>
      </c>
      <c r="P49" s="245"/>
    </row>
    <row r="50" spans="1:16" s="168" customFormat="1" x14ac:dyDescent="0.25">
      <c r="A50" s="261">
        <f t="shared" si="1"/>
        <v>44</v>
      </c>
      <c r="B50" s="239" t="s">
        <v>638</v>
      </c>
      <c r="C50" s="241" t="s">
        <v>512</v>
      </c>
      <c r="D50" s="242">
        <v>36.6</v>
      </c>
      <c r="E50" s="208">
        <v>2015</v>
      </c>
      <c r="F50" s="243">
        <v>10</v>
      </c>
      <c r="G50" s="243">
        <v>3</v>
      </c>
      <c r="H50" s="234">
        <f>D50*28000</f>
        <v>1024800</v>
      </c>
      <c r="I50" s="248"/>
      <c r="J50" s="248">
        <f>D50*22000</f>
        <v>805200</v>
      </c>
      <c r="K50" s="248"/>
      <c r="L50" s="248">
        <f>J50</f>
        <v>805200</v>
      </c>
      <c r="M50" s="247">
        <f>1-J50/H50</f>
        <v>0.2142857142857143</v>
      </c>
      <c r="N50" s="263">
        <f>H50-J50</f>
        <v>219600</v>
      </c>
      <c r="O50" s="245" t="e">
        <f>J50-#REF!</f>
        <v>#REF!</v>
      </c>
      <c r="P50" s="245"/>
    </row>
    <row r="51" spans="1:16" s="168" customFormat="1" x14ac:dyDescent="0.25">
      <c r="A51" s="261">
        <f t="shared" si="1"/>
        <v>45</v>
      </c>
      <c r="B51" s="239" t="s">
        <v>652</v>
      </c>
      <c r="C51" s="241" t="s">
        <v>655</v>
      </c>
      <c r="D51" s="242">
        <v>60.1</v>
      </c>
      <c r="E51" s="208">
        <v>2016</v>
      </c>
      <c r="F51" s="243" t="s">
        <v>618</v>
      </c>
      <c r="G51" s="243" t="s">
        <v>632</v>
      </c>
      <c r="H51" s="234">
        <f>D51*29057</f>
        <v>1746325.7</v>
      </c>
      <c r="I51" s="248"/>
      <c r="J51" s="248">
        <f>D51*23000</f>
        <v>1382300</v>
      </c>
      <c r="K51" s="248"/>
      <c r="L51" s="248">
        <f>J51</f>
        <v>1382300</v>
      </c>
      <c r="M51" s="247">
        <f>1-J51/H51</f>
        <v>0.20845235227311831</v>
      </c>
      <c r="N51" s="263">
        <f>H51-J51</f>
        <v>364025.69999999995</v>
      </c>
      <c r="O51" s="245" t="e">
        <f>J51-#REF!</f>
        <v>#REF!</v>
      </c>
      <c r="P51" s="245" t="s">
        <v>697</v>
      </c>
    </row>
    <row r="52" spans="1:16" s="168" customFormat="1" ht="15" customHeight="1" x14ac:dyDescent="0.2">
      <c r="A52" s="261">
        <f t="shared" si="1"/>
        <v>46</v>
      </c>
      <c r="B52" s="239" t="s">
        <v>652</v>
      </c>
      <c r="C52" s="315" t="s">
        <v>655</v>
      </c>
      <c r="D52" s="316">
        <v>60.1</v>
      </c>
      <c r="E52" s="208">
        <v>2016</v>
      </c>
      <c r="F52" s="317">
        <v>17</v>
      </c>
      <c r="G52" s="317">
        <v>3</v>
      </c>
      <c r="H52" s="234">
        <f>D52*29057</f>
        <v>1746325.7</v>
      </c>
      <c r="I52" s="248"/>
      <c r="J52" s="248">
        <f>D52*23000</f>
        <v>1382300</v>
      </c>
      <c r="K52" s="248"/>
      <c r="L52" s="248">
        <f>J52</f>
        <v>1382300</v>
      </c>
      <c r="M52" s="247">
        <f>1-J52/H52</f>
        <v>0.20845235227311831</v>
      </c>
      <c r="N52" s="263">
        <f>H52-J52</f>
        <v>364025.69999999995</v>
      </c>
      <c r="O52" s="245" t="e">
        <f>J52-#REF!</f>
        <v>#REF!</v>
      </c>
      <c r="P52" s="245" t="s">
        <v>697</v>
      </c>
    </row>
    <row r="53" spans="1:16" s="168" customFormat="1" x14ac:dyDescent="0.2">
      <c r="A53" s="261">
        <f t="shared" si="1"/>
        <v>47</v>
      </c>
      <c r="B53" s="239" t="s">
        <v>656</v>
      </c>
      <c r="C53" s="239" t="s">
        <v>657</v>
      </c>
      <c r="D53" s="318">
        <v>67.400000000000006</v>
      </c>
      <c r="E53" s="208">
        <v>2017</v>
      </c>
      <c r="F53" s="253" t="s">
        <v>632</v>
      </c>
      <c r="G53" s="254" t="s">
        <v>632</v>
      </c>
      <c r="H53" s="234">
        <f>D53*33425</f>
        <v>2252845</v>
      </c>
      <c r="I53" s="248"/>
      <c r="J53" s="248">
        <f>D53*31500</f>
        <v>2123100</v>
      </c>
      <c r="K53" s="245"/>
      <c r="L53" s="248">
        <f>D53*32500</f>
        <v>2190500</v>
      </c>
      <c r="M53" s="247">
        <f>1-J53/H53</f>
        <v>5.759162303664922E-2</v>
      </c>
      <c r="N53" s="263">
        <f>H53-J53</f>
        <v>129745</v>
      </c>
      <c r="O53" s="245" t="e">
        <f>J53-#REF!</f>
        <v>#REF!</v>
      </c>
      <c r="P53" s="245"/>
    </row>
    <row r="54" spans="1:16" s="168" customFormat="1" x14ac:dyDescent="0.2">
      <c r="A54" s="261">
        <f t="shared" si="1"/>
        <v>48</v>
      </c>
      <c r="B54" s="239" t="s">
        <v>656</v>
      </c>
      <c r="C54" s="239" t="s">
        <v>657</v>
      </c>
      <c r="D54" s="318">
        <v>37.799999999999997</v>
      </c>
      <c r="E54" s="208">
        <v>2017</v>
      </c>
      <c r="F54" s="253" t="s">
        <v>633</v>
      </c>
      <c r="G54" s="254" t="s">
        <v>632</v>
      </c>
      <c r="H54" s="234">
        <f>D54*33425</f>
        <v>1263465</v>
      </c>
      <c r="I54" s="248"/>
      <c r="J54" s="248">
        <f>D54*31500</f>
        <v>1190700</v>
      </c>
      <c r="K54" s="245"/>
      <c r="L54" s="248">
        <f>D54*32500</f>
        <v>1228500</v>
      </c>
      <c r="M54" s="247">
        <f>1-J54/H54</f>
        <v>5.759162303664922E-2</v>
      </c>
      <c r="N54" s="263">
        <f>H54-J54</f>
        <v>72765</v>
      </c>
      <c r="O54" s="245" t="e">
        <f>J54-#REF!</f>
        <v>#REF!</v>
      </c>
      <c r="P54" s="245"/>
    </row>
    <row r="55" spans="1:16" s="168" customFormat="1" x14ac:dyDescent="0.2">
      <c r="A55" s="261">
        <f t="shared" si="1"/>
        <v>49</v>
      </c>
      <c r="B55" s="239" t="s">
        <v>656</v>
      </c>
      <c r="C55" s="239" t="s">
        <v>657</v>
      </c>
      <c r="D55" s="318">
        <v>79.2</v>
      </c>
      <c r="E55" s="208">
        <v>2017</v>
      </c>
      <c r="F55" s="253" t="s">
        <v>634</v>
      </c>
      <c r="G55" s="254" t="s">
        <v>632</v>
      </c>
      <c r="H55" s="234">
        <f>D55*31000</f>
        <v>2455200</v>
      </c>
      <c r="I55" s="248">
        <f>D55*28000</f>
        <v>2217600</v>
      </c>
      <c r="J55" s="248"/>
      <c r="K55" s="248">
        <f>D55*29000</f>
        <v>2296800</v>
      </c>
      <c r="L55" s="248"/>
      <c r="M55" s="247">
        <f>1-I55/H55</f>
        <v>9.6774193548387122E-2</v>
      </c>
      <c r="N55" s="263">
        <f>H55-I55</f>
        <v>237600</v>
      </c>
      <c r="O55" s="245" t="e">
        <f>I55-#REF!</f>
        <v>#REF!</v>
      </c>
      <c r="P55" s="245" t="s">
        <v>697</v>
      </c>
    </row>
    <row r="56" spans="1:16" s="168" customFormat="1" x14ac:dyDescent="0.2">
      <c r="A56" s="261">
        <f t="shared" si="1"/>
        <v>50</v>
      </c>
      <c r="B56" s="239" t="s">
        <v>656</v>
      </c>
      <c r="C56" s="239" t="s">
        <v>657</v>
      </c>
      <c r="D56" s="318">
        <v>66.7</v>
      </c>
      <c r="E56" s="208">
        <v>2017</v>
      </c>
      <c r="F56" s="253" t="s">
        <v>636</v>
      </c>
      <c r="G56" s="254" t="s">
        <v>633</v>
      </c>
      <c r="H56" s="234">
        <f t="shared" ref="H56:H61" si="4">D56*34425</f>
        <v>2296147.5</v>
      </c>
      <c r="I56" s="248"/>
      <c r="J56" s="248">
        <f t="shared" ref="J56:J61" si="5">D56*32500</f>
        <v>2167750</v>
      </c>
      <c r="K56" s="248"/>
      <c r="L56" s="248">
        <f t="shared" ref="L56:L61" si="6">D56*33500</f>
        <v>2234450</v>
      </c>
      <c r="M56" s="247">
        <f>1-J56/H56</f>
        <v>5.5918663761800991E-2</v>
      </c>
      <c r="N56" s="263">
        <f>H56-J56</f>
        <v>128397.5</v>
      </c>
      <c r="O56" s="245" t="e">
        <f>J56-#REF!</f>
        <v>#REF!</v>
      </c>
      <c r="P56" s="245" t="s">
        <v>697</v>
      </c>
    </row>
    <row r="57" spans="1:16" s="168" customFormat="1" x14ac:dyDescent="0.2">
      <c r="A57" s="261">
        <f t="shared" si="1"/>
        <v>51</v>
      </c>
      <c r="B57" s="239" t="s">
        <v>656</v>
      </c>
      <c r="C57" s="239" t="s">
        <v>657</v>
      </c>
      <c r="D57" s="318">
        <v>67.2</v>
      </c>
      <c r="E57" s="208">
        <v>2017</v>
      </c>
      <c r="F57" s="253" t="s">
        <v>658</v>
      </c>
      <c r="G57" s="254" t="s">
        <v>634</v>
      </c>
      <c r="H57" s="234">
        <f t="shared" si="4"/>
        <v>2313360</v>
      </c>
      <c r="I57" s="248"/>
      <c r="J57" s="248">
        <f t="shared" si="5"/>
        <v>2184000</v>
      </c>
      <c r="K57" s="248"/>
      <c r="L57" s="248">
        <f t="shared" si="6"/>
        <v>2251200</v>
      </c>
      <c r="M57" s="247">
        <f>1-J57/H57</f>
        <v>5.5918663761800991E-2</v>
      </c>
      <c r="N57" s="263">
        <f>H57-J57</f>
        <v>129360</v>
      </c>
      <c r="O57" s="245" t="e">
        <f>J57-#REF!</f>
        <v>#REF!</v>
      </c>
      <c r="P57" s="245"/>
    </row>
    <row r="58" spans="1:16" s="168" customFormat="1" x14ac:dyDescent="0.2">
      <c r="A58" s="261">
        <f t="shared" si="1"/>
        <v>52</v>
      </c>
      <c r="B58" s="239" t="s">
        <v>656</v>
      </c>
      <c r="C58" s="239" t="s">
        <v>657</v>
      </c>
      <c r="D58" s="318">
        <v>67.400000000000006</v>
      </c>
      <c r="E58" s="208">
        <v>2017</v>
      </c>
      <c r="F58" s="253" t="s">
        <v>659</v>
      </c>
      <c r="G58" s="254" t="s">
        <v>636</v>
      </c>
      <c r="H58" s="234">
        <f t="shared" si="4"/>
        <v>2320245</v>
      </c>
      <c r="I58" s="248"/>
      <c r="J58" s="248">
        <f t="shared" si="5"/>
        <v>2190500</v>
      </c>
      <c r="K58" s="248"/>
      <c r="L58" s="248">
        <f t="shared" si="6"/>
        <v>2257900</v>
      </c>
      <c r="M58" s="247">
        <f>1-J58/H58</f>
        <v>5.5918663761800991E-2</v>
      </c>
      <c r="N58" s="263">
        <f>H58-J58</f>
        <v>129745</v>
      </c>
      <c r="O58" s="245" t="e">
        <f>J58-#REF!</f>
        <v>#REF!</v>
      </c>
      <c r="P58" s="245"/>
    </row>
    <row r="59" spans="1:16" s="168" customFormat="1" x14ac:dyDescent="0.2">
      <c r="A59" s="261">
        <f t="shared" si="1"/>
        <v>53</v>
      </c>
      <c r="B59" s="239" t="s">
        <v>656</v>
      </c>
      <c r="C59" s="239" t="s">
        <v>657</v>
      </c>
      <c r="D59" s="318">
        <v>67.3</v>
      </c>
      <c r="E59" s="208">
        <v>2017</v>
      </c>
      <c r="F59" s="253" t="s">
        <v>618</v>
      </c>
      <c r="G59" s="254" t="s">
        <v>637</v>
      </c>
      <c r="H59" s="234">
        <f t="shared" si="4"/>
        <v>2316802.5</v>
      </c>
      <c r="I59" s="248"/>
      <c r="J59" s="248">
        <f t="shared" si="5"/>
        <v>2187250</v>
      </c>
      <c r="K59" s="248"/>
      <c r="L59" s="248">
        <f t="shared" si="6"/>
        <v>2254550</v>
      </c>
      <c r="M59" s="247">
        <f>1-J59/H59</f>
        <v>5.5918663761800991E-2</v>
      </c>
      <c r="N59" s="263">
        <f>H59-J59</f>
        <v>129552.5</v>
      </c>
      <c r="O59" s="245" t="e">
        <f>J59-#REF!</f>
        <v>#REF!</v>
      </c>
      <c r="P59" s="245"/>
    </row>
    <row r="60" spans="1:16" s="168" customFormat="1" x14ac:dyDescent="0.2">
      <c r="A60" s="261">
        <f t="shared" si="1"/>
        <v>54</v>
      </c>
      <c r="B60" s="239" t="s">
        <v>656</v>
      </c>
      <c r="C60" s="239" t="s">
        <v>657</v>
      </c>
      <c r="D60" s="318">
        <v>38.4</v>
      </c>
      <c r="E60" s="208">
        <v>2017</v>
      </c>
      <c r="F60" s="253" t="s">
        <v>660</v>
      </c>
      <c r="G60" s="254" t="s">
        <v>637</v>
      </c>
      <c r="H60" s="234">
        <f t="shared" si="4"/>
        <v>1321920</v>
      </c>
      <c r="I60" s="248"/>
      <c r="J60" s="248">
        <f t="shared" si="5"/>
        <v>1248000</v>
      </c>
      <c r="K60" s="248"/>
      <c r="L60" s="248">
        <f t="shared" si="6"/>
        <v>1286400</v>
      </c>
      <c r="M60" s="247">
        <f>1-J60/H60</f>
        <v>5.5918663761800991E-2</v>
      </c>
      <c r="N60" s="263">
        <f>H60-J60</f>
        <v>73920</v>
      </c>
      <c r="O60" s="245" t="e">
        <f>J60-#REF!</f>
        <v>#REF!</v>
      </c>
      <c r="P60" s="245"/>
    </row>
    <row r="61" spans="1:16" s="168" customFormat="1" x14ac:dyDescent="0.2">
      <c r="A61" s="261">
        <f t="shared" si="1"/>
        <v>55</v>
      </c>
      <c r="B61" s="239" t="s">
        <v>656</v>
      </c>
      <c r="C61" s="239" t="s">
        <v>657</v>
      </c>
      <c r="D61" s="318">
        <v>79.400000000000006</v>
      </c>
      <c r="E61" s="208">
        <v>2017</v>
      </c>
      <c r="F61" s="253" t="s">
        <v>619</v>
      </c>
      <c r="G61" s="254" t="s">
        <v>637</v>
      </c>
      <c r="H61" s="234">
        <f t="shared" si="4"/>
        <v>2733345</v>
      </c>
      <c r="I61" s="248"/>
      <c r="J61" s="248">
        <f t="shared" si="5"/>
        <v>2580500</v>
      </c>
      <c r="K61" s="248"/>
      <c r="L61" s="248">
        <f t="shared" si="6"/>
        <v>2659900</v>
      </c>
      <c r="M61" s="247">
        <f>1-J61/H61</f>
        <v>5.5918663761800991E-2</v>
      </c>
      <c r="N61" s="263">
        <f>H61-J61</f>
        <v>152845</v>
      </c>
      <c r="O61" s="245" t="e">
        <f>J61-#REF!</f>
        <v>#REF!</v>
      </c>
      <c r="P61" s="245" t="s">
        <v>697</v>
      </c>
    </row>
    <row r="62" spans="1:16" s="168" customFormat="1" x14ac:dyDescent="0.2">
      <c r="A62" s="261">
        <f t="shared" si="1"/>
        <v>56</v>
      </c>
      <c r="B62" s="239" t="s">
        <v>656</v>
      </c>
      <c r="C62" s="239" t="s">
        <v>657</v>
      </c>
      <c r="D62" s="318">
        <v>78.7</v>
      </c>
      <c r="E62" s="208">
        <v>2017</v>
      </c>
      <c r="F62" s="253" t="s">
        <v>623</v>
      </c>
      <c r="G62" s="254" t="s">
        <v>632</v>
      </c>
      <c r="H62" s="234">
        <f>D62*31000</f>
        <v>2439700</v>
      </c>
      <c r="I62" s="248">
        <f>D62*28000</f>
        <v>2203600</v>
      </c>
      <c r="J62" s="248"/>
      <c r="K62" s="248">
        <f>D62*29000</f>
        <v>2282300</v>
      </c>
      <c r="L62" s="248"/>
      <c r="M62" s="247">
        <f>1-I62/H62</f>
        <v>9.6774193548387122E-2</v>
      </c>
      <c r="N62" s="263">
        <f>H62-I62</f>
        <v>236100</v>
      </c>
      <c r="O62" s="245" t="e">
        <f>I62-#REF!</f>
        <v>#REF!</v>
      </c>
      <c r="P62" s="245"/>
    </row>
    <row r="63" spans="1:16" s="168" customFormat="1" x14ac:dyDescent="0.2">
      <c r="A63" s="261">
        <f t="shared" si="1"/>
        <v>57</v>
      </c>
      <c r="B63" s="239" t="s">
        <v>656</v>
      </c>
      <c r="C63" s="239" t="s">
        <v>657</v>
      </c>
      <c r="D63" s="318">
        <v>39.200000000000003</v>
      </c>
      <c r="E63" s="208">
        <v>2017</v>
      </c>
      <c r="F63" s="253" t="s">
        <v>661</v>
      </c>
      <c r="G63" s="254" t="s">
        <v>632</v>
      </c>
      <c r="H63" s="234">
        <f>D63*31000</f>
        <v>1215200</v>
      </c>
      <c r="I63" s="248">
        <f>D63*28000</f>
        <v>1097600</v>
      </c>
      <c r="J63" s="248"/>
      <c r="K63" s="248">
        <f>D63*29000</f>
        <v>1136800</v>
      </c>
      <c r="L63" s="248"/>
      <c r="M63" s="247">
        <f>1-I63/H63</f>
        <v>9.6774193548387122E-2</v>
      </c>
      <c r="N63" s="263">
        <f>H63-I63</f>
        <v>117600</v>
      </c>
      <c r="O63" s="245" t="e">
        <f>I63-#REF!</f>
        <v>#REF!</v>
      </c>
      <c r="P63" s="245"/>
    </row>
    <row r="64" spans="1:16" s="168" customFormat="1" x14ac:dyDescent="0.2">
      <c r="A64" s="261">
        <f t="shared" si="1"/>
        <v>58</v>
      </c>
      <c r="B64" s="239" t="s">
        <v>656</v>
      </c>
      <c r="C64" s="239" t="s">
        <v>657</v>
      </c>
      <c r="D64" s="318">
        <v>62.3</v>
      </c>
      <c r="E64" s="208">
        <v>2017</v>
      </c>
      <c r="F64" s="253" t="s">
        <v>624</v>
      </c>
      <c r="G64" s="254" t="s">
        <v>632</v>
      </c>
      <c r="H64" s="234">
        <f>D64*31000</f>
        <v>1931300</v>
      </c>
      <c r="I64" s="248">
        <f>D64*28000</f>
        <v>1744400</v>
      </c>
      <c r="J64" s="248"/>
      <c r="K64" s="248">
        <f>D64*29000</f>
        <v>1806700</v>
      </c>
      <c r="L64" s="248"/>
      <c r="M64" s="247">
        <f>1-I64/H64</f>
        <v>9.6774193548387122E-2</v>
      </c>
      <c r="N64" s="263">
        <f>H64-I64</f>
        <v>186900</v>
      </c>
      <c r="O64" s="245" t="e">
        <f>I64-#REF!</f>
        <v>#REF!</v>
      </c>
      <c r="P64" s="245"/>
    </row>
    <row r="65" spans="1:16" s="168" customFormat="1" x14ac:dyDescent="0.2">
      <c r="A65" s="261">
        <f t="shared" si="1"/>
        <v>59</v>
      </c>
      <c r="B65" s="239" t="s">
        <v>656</v>
      </c>
      <c r="C65" s="239" t="s">
        <v>657</v>
      </c>
      <c r="D65" s="318">
        <v>79.5</v>
      </c>
      <c r="E65" s="208">
        <v>2017</v>
      </c>
      <c r="F65" s="253" t="s">
        <v>620</v>
      </c>
      <c r="G65" s="254" t="s">
        <v>634</v>
      </c>
      <c r="H65" s="234">
        <f t="shared" ref="H65:H70" si="7">D65*32000</f>
        <v>2544000</v>
      </c>
      <c r="I65" s="248">
        <f t="shared" ref="I65:I95" si="8">D65*29000</f>
        <v>2305500</v>
      </c>
      <c r="J65" s="248"/>
      <c r="K65" s="248">
        <f t="shared" ref="K65:K95" si="9">D65*30000</f>
        <v>2385000</v>
      </c>
      <c r="L65" s="248"/>
      <c r="M65" s="247">
        <f>1-I65/H65</f>
        <v>9.375E-2</v>
      </c>
      <c r="N65" s="263">
        <f>H65-I65</f>
        <v>238500</v>
      </c>
      <c r="O65" s="245" t="e">
        <f>I65-#REF!</f>
        <v>#REF!</v>
      </c>
      <c r="P65" s="245" t="s">
        <v>697</v>
      </c>
    </row>
    <row r="66" spans="1:16" s="168" customFormat="1" x14ac:dyDescent="0.2">
      <c r="A66" s="261">
        <f t="shared" si="1"/>
        <v>60</v>
      </c>
      <c r="B66" s="239" t="s">
        <v>656</v>
      </c>
      <c r="C66" s="239" t="s">
        <v>657</v>
      </c>
      <c r="D66" s="318">
        <v>80</v>
      </c>
      <c r="E66" s="208">
        <v>2017</v>
      </c>
      <c r="F66" s="253" t="s">
        <v>625</v>
      </c>
      <c r="G66" s="254" t="s">
        <v>636</v>
      </c>
      <c r="H66" s="234">
        <f t="shared" si="7"/>
        <v>2560000</v>
      </c>
      <c r="I66" s="248">
        <f t="shared" si="8"/>
        <v>2320000</v>
      </c>
      <c r="J66" s="248"/>
      <c r="K66" s="248">
        <f t="shared" si="9"/>
        <v>2400000</v>
      </c>
      <c r="L66" s="248"/>
      <c r="M66" s="247">
        <f>1-I66/H66</f>
        <v>9.375E-2</v>
      </c>
      <c r="N66" s="263">
        <f>H66-I66</f>
        <v>240000</v>
      </c>
      <c r="O66" s="245" t="e">
        <f>I66-#REF!</f>
        <v>#REF!</v>
      </c>
      <c r="P66" s="245" t="s">
        <v>697</v>
      </c>
    </row>
    <row r="67" spans="1:16" s="168" customFormat="1" x14ac:dyDescent="0.2">
      <c r="A67" s="261">
        <f t="shared" si="1"/>
        <v>61</v>
      </c>
      <c r="B67" s="239" t="s">
        <v>656</v>
      </c>
      <c r="C67" s="239" t="s">
        <v>657</v>
      </c>
      <c r="D67" s="318">
        <v>62.8</v>
      </c>
      <c r="E67" s="208">
        <v>2017</v>
      </c>
      <c r="F67" s="253" t="s">
        <v>626</v>
      </c>
      <c r="G67" s="254" t="s">
        <v>636</v>
      </c>
      <c r="H67" s="234">
        <f t="shared" si="7"/>
        <v>2009600</v>
      </c>
      <c r="I67" s="248">
        <f t="shared" si="8"/>
        <v>1821200</v>
      </c>
      <c r="J67" s="248"/>
      <c r="K67" s="248">
        <f t="shared" si="9"/>
        <v>1884000</v>
      </c>
      <c r="L67" s="248"/>
      <c r="M67" s="247">
        <f>1-I67/H67</f>
        <v>9.375E-2</v>
      </c>
      <c r="N67" s="263">
        <f>H67-I67</f>
        <v>188400</v>
      </c>
      <c r="O67" s="245" t="e">
        <f>I67-#REF!</f>
        <v>#REF!</v>
      </c>
      <c r="P67" s="245"/>
    </row>
    <row r="68" spans="1:16" s="168" customFormat="1" x14ac:dyDescent="0.2">
      <c r="A68" s="261">
        <f t="shared" si="1"/>
        <v>62</v>
      </c>
      <c r="B68" s="239" t="s">
        <v>656</v>
      </c>
      <c r="C68" s="239" t="s">
        <v>657</v>
      </c>
      <c r="D68" s="318">
        <v>80.3</v>
      </c>
      <c r="E68" s="208">
        <v>2017</v>
      </c>
      <c r="F68" s="253" t="s">
        <v>630</v>
      </c>
      <c r="G68" s="254" t="s">
        <v>637</v>
      </c>
      <c r="H68" s="234">
        <f t="shared" si="7"/>
        <v>2569600</v>
      </c>
      <c r="I68" s="248">
        <f t="shared" si="8"/>
        <v>2328700</v>
      </c>
      <c r="J68" s="248"/>
      <c r="K68" s="248">
        <f t="shared" si="9"/>
        <v>2409000</v>
      </c>
      <c r="L68" s="248"/>
      <c r="M68" s="247">
        <f>1-I68/H68</f>
        <v>9.375E-2</v>
      </c>
      <c r="N68" s="263">
        <f>H68-I68</f>
        <v>240900</v>
      </c>
      <c r="O68" s="245" t="e">
        <f>I68-#REF!</f>
        <v>#REF!</v>
      </c>
      <c r="P68" s="245"/>
    </row>
    <row r="69" spans="1:16" s="168" customFormat="1" x14ac:dyDescent="0.2">
      <c r="A69" s="261">
        <f t="shared" si="1"/>
        <v>63</v>
      </c>
      <c r="B69" s="239" t="s">
        <v>656</v>
      </c>
      <c r="C69" s="239" t="s">
        <v>657</v>
      </c>
      <c r="D69" s="318">
        <v>38.700000000000003</v>
      </c>
      <c r="E69" s="208">
        <v>2017</v>
      </c>
      <c r="F69" s="253" t="s">
        <v>662</v>
      </c>
      <c r="G69" s="254" t="s">
        <v>637</v>
      </c>
      <c r="H69" s="234">
        <f t="shared" si="7"/>
        <v>1238400</v>
      </c>
      <c r="I69" s="248">
        <f t="shared" si="8"/>
        <v>1122300</v>
      </c>
      <c r="J69" s="248"/>
      <c r="K69" s="248">
        <f t="shared" si="9"/>
        <v>1161000</v>
      </c>
      <c r="L69" s="248"/>
      <c r="M69" s="247">
        <f>1-I69/H69</f>
        <v>9.375E-2</v>
      </c>
      <c r="N69" s="263">
        <f>H69-I69</f>
        <v>116100</v>
      </c>
      <c r="O69" s="245" t="e">
        <f>I69-#REF!</f>
        <v>#REF!</v>
      </c>
      <c r="P69" s="245"/>
    </row>
    <row r="70" spans="1:16" s="168" customFormat="1" x14ac:dyDescent="0.2">
      <c r="A70" s="261">
        <f t="shared" si="1"/>
        <v>64</v>
      </c>
      <c r="B70" s="239" t="s">
        <v>656</v>
      </c>
      <c r="C70" s="239" t="s">
        <v>657</v>
      </c>
      <c r="D70" s="318">
        <v>62.3</v>
      </c>
      <c r="E70" s="208">
        <v>2017</v>
      </c>
      <c r="F70" s="253" t="s">
        <v>631</v>
      </c>
      <c r="G70" s="254" t="s">
        <v>637</v>
      </c>
      <c r="H70" s="234">
        <f t="shared" si="7"/>
        <v>1993600</v>
      </c>
      <c r="I70" s="248">
        <f t="shared" si="8"/>
        <v>1806700</v>
      </c>
      <c r="J70" s="248"/>
      <c r="K70" s="248">
        <f t="shared" si="9"/>
        <v>1869000</v>
      </c>
      <c r="L70" s="248"/>
      <c r="M70" s="247">
        <f>1-I70/H70</f>
        <v>9.375E-2</v>
      </c>
      <c r="N70" s="263">
        <f>H70-I70</f>
        <v>186900</v>
      </c>
      <c r="O70" s="245" t="e">
        <f>I70-#REF!</f>
        <v>#REF!</v>
      </c>
      <c r="P70" s="245"/>
    </row>
    <row r="71" spans="1:16" s="168" customFormat="1" x14ac:dyDescent="0.2">
      <c r="A71" s="261">
        <f t="shared" si="1"/>
        <v>65</v>
      </c>
      <c r="B71" s="239" t="s">
        <v>656</v>
      </c>
      <c r="C71" s="239" t="s">
        <v>657</v>
      </c>
      <c r="D71" s="318">
        <v>64.400000000000006</v>
      </c>
      <c r="E71" s="208">
        <v>2017</v>
      </c>
      <c r="F71" s="253" t="s">
        <v>663</v>
      </c>
      <c r="G71" s="254" t="s">
        <v>632</v>
      </c>
      <c r="H71" s="234">
        <f>D71*31000</f>
        <v>1996400.0000000002</v>
      </c>
      <c r="I71" s="248">
        <f>D71*28000</f>
        <v>1803200.0000000002</v>
      </c>
      <c r="J71" s="248"/>
      <c r="K71" s="248">
        <f>D71*29000</f>
        <v>1867600.0000000002</v>
      </c>
      <c r="L71" s="248"/>
      <c r="M71" s="247">
        <f>1-I71/H71</f>
        <v>9.6774193548387122E-2</v>
      </c>
      <c r="N71" s="263">
        <f>H71-I71</f>
        <v>193200</v>
      </c>
      <c r="O71" s="245" t="e">
        <f>I71-#REF!</f>
        <v>#REF!</v>
      </c>
      <c r="P71" s="245"/>
    </row>
    <row r="72" spans="1:16" s="168" customFormat="1" x14ac:dyDescent="0.2">
      <c r="A72" s="261">
        <f t="shared" si="1"/>
        <v>66</v>
      </c>
      <c r="B72" s="239" t="s">
        <v>656</v>
      </c>
      <c r="C72" s="239" t="s">
        <v>657</v>
      </c>
      <c r="D72" s="318">
        <v>70.2</v>
      </c>
      <c r="E72" s="208">
        <v>2017</v>
      </c>
      <c r="F72" s="253" t="s">
        <v>664</v>
      </c>
      <c r="G72" s="254" t="s">
        <v>632</v>
      </c>
      <c r="H72" s="234">
        <f>D72*31000</f>
        <v>2176200</v>
      </c>
      <c r="I72" s="248">
        <f>D72*28000</f>
        <v>1965600</v>
      </c>
      <c r="J72" s="248"/>
      <c r="K72" s="248">
        <f>D72*29000</f>
        <v>2035800</v>
      </c>
      <c r="L72" s="248"/>
      <c r="M72" s="247">
        <f>1-I72/H72</f>
        <v>9.6774193548387122E-2</v>
      </c>
      <c r="N72" s="263">
        <f>H72-I72</f>
        <v>210600</v>
      </c>
      <c r="O72" s="245" t="e">
        <f>I72-#REF!</f>
        <v>#REF!</v>
      </c>
      <c r="P72" s="245"/>
    </row>
    <row r="73" spans="1:16" s="168" customFormat="1" x14ac:dyDescent="0.2">
      <c r="A73" s="261">
        <f t="shared" ref="A73:A96" si="10">A72+1</f>
        <v>67</v>
      </c>
      <c r="B73" s="239" t="s">
        <v>656</v>
      </c>
      <c r="C73" s="239" t="s">
        <v>657</v>
      </c>
      <c r="D73" s="318">
        <v>64.3</v>
      </c>
      <c r="E73" s="208">
        <v>2017</v>
      </c>
      <c r="F73" s="253" t="s">
        <v>665</v>
      </c>
      <c r="G73" s="254" t="s">
        <v>633</v>
      </c>
      <c r="H73" s="234">
        <f>D73*32000</f>
        <v>2057600</v>
      </c>
      <c r="I73" s="248">
        <f t="shared" si="8"/>
        <v>1864700</v>
      </c>
      <c r="J73" s="248"/>
      <c r="K73" s="248">
        <f t="shared" si="9"/>
        <v>1929000</v>
      </c>
      <c r="L73" s="248"/>
      <c r="M73" s="247">
        <f>1-I73/H73</f>
        <v>9.375E-2</v>
      </c>
      <c r="N73" s="263">
        <f>H73-I73</f>
        <v>192900</v>
      </c>
      <c r="O73" s="245" t="e">
        <f>I73-#REF!</f>
        <v>#REF!</v>
      </c>
      <c r="P73" s="245"/>
    </row>
    <row r="74" spans="1:16" s="168" customFormat="1" x14ac:dyDescent="0.2">
      <c r="A74" s="261">
        <f t="shared" si="10"/>
        <v>68</v>
      </c>
      <c r="B74" s="239" t="s">
        <v>656</v>
      </c>
      <c r="C74" s="239" t="s">
        <v>657</v>
      </c>
      <c r="D74" s="318">
        <v>63.6</v>
      </c>
      <c r="E74" s="208">
        <v>2017</v>
      </c>
      <c r="F74" s="253" t="s">
        <v>666</v>
      </c>
      <c r="G74" s="254" t="s">
        <v>636</v>
      </c>
      <c r="H74" s="234">
        <f t="shared" ref="H74:H80" si="11">D74*32000</f>
        <v>2035200</v>
      </c>
      <c r="I74" s="248">
        <f t="shared" si="8"/>
        <v>1844400</v>
      </c>
      <c r="J74" s="248"/>
      <c r="K74" s="248">
        <f t="shared" si="9"/>
        <v>1908000</v>
      </c>
      <c r="L74" s="248"/>
      <c r="M74" s="247">
        <f>1-I74/H74</f>
        <v>9.375E-2</v>
      </c>
      <c r="N74" s="263">
        <f>H74-I74</f>
        <v>190800</v>
      </c>
      <c r="O74" s="245" t="e">
        <f>I74-#REF!</f>
        <v>#REF!</v>
      </c>
      <c r="P74" s="245"/>
    </row>
    <row r="75" spans="1:16" s="168" customFormat="1" x14ac:dyDescent="0.2">
      <c r="A75" s="261">
        <f t="shared" si="10"/>
        <v>69</v>
      </c>
      <c r="B75" s="239" t="s">
        <v>656</v>
      </c>
      <c r="C75" s="239" t="s">
        <v>657</v>
      </c>
      <c r="D75" s="318">
        <v>42.3</v>
      </c>
      <c r="E75" s="208">
        <v>2017</v>
      </c>
      <c r="F75" s="253" t="s">
        <v>667</v>
      </c>
      <c r="G75" s="254" t="s">
        <v>636</v>
      </c>
      <c r="H75" s="234">
        <f t="shared" si="11"/>
        <v>1353600</v>
      </c>
      <c r="I75" s="248">
        <f t="shared" si="8"/>
        <v>1226700</v>
      </c>
      <c r="J75" s="248"/>
      <c r="K75" s="248">
        <f t="shared" si="9"/>
        <v>1269000</v>
      </c>
      <c r="L75" s="248"/>
      <c r="M75" s="247">
        <f>1-I75/H75</f>
        <v>9.375E-2</v>
      </c>
      <c r="N75" s="263">
        <f>H75-I75</f>
        <v>126900</v>
      </c>
      <c r="O75" s="245" t="e">
        <f>I75-#REF!</f>
        <v>#REF!</v>
      </c>
      <c r="P75" s="245"/>
    </row>
    <row r="76" spans="1:16" s="168" customFormat="1" x14ac:dyDescent="0.2">
      <c r="A76" s="261">
        <f t="shared" si="10"/>
        <v>70</v>
      </c>
      <c r="B76" s="239" t="s">
        <v>656</v>
      </c>
      <c r="C76" s="239" t="s">
        <v>657</v>
      </c>
      <c r="D76" s="318">
        <v>45.9</v>
      </c>
      <c r="E76" s="208">
        <v>2017</v>
      </c>
      <c r="F76" s="253">
        <v>45</v>
      </c>
      <c r="G76" s="254">
        <v>4</v>
      </c>
      <c r="H76" s="234">
        <f t="shared" si="11"/>
        <v>1468800</v>
      </c>
      <c r="I76" s="248">
        <f t="shared" si="8"/>
        <v>1331100</v>
      </c>
      <c r="J76" s="248"/>
      <c r="K76" s="248">
        <f t="shared" si="9"/>
        <v>1377000</v>
      </c>
      <c r="L76" s="248"/>
      <c r="M76" s="247">
        <f>1-I76/H76</f>
        <v>9.375E-2</v>
      </c>
      <c r="N76" s="263">
        <f>H76-I76</f>
        <v>137700</v>
      </c>
      <c r="O76" s="245" t="e">
        <f>I76-#REF!</f>
        <v>#REF!</v>
      </c>
      <c r="P76" s="245" t="s">
        <v>697</v>
      </c>
    </row>
    <row r="77" spans="1:16" s="168" customFormat="1" x14ac:dyDescent="0.2">
      <c r="A77" s="261">
        <f t="shared" si="10"/>
        <v>71</v>
      </c>
      <c r="B77" s="239" t="s">
        <v>656</v>
      </c>
      <c r="C77" s="239" t="s">
        <v>657</v>
      </c>
      <c r="D77" s="318">
        <v>64.3</v>
      </c>
      <c r="E77" s="208">
        <v>2017</v>
      </c>
      <c r="F77" s="253" t="s">
        <v>668</v>
      </c>
      <c r="G77" s="254" t="s">
        <v>637</v>
      </c>
      <c r="H77" s="234">
        <f t="shared" si="11"/>
        <v>2057600</v>
      </c>
      <c r="I77" s="248">
        <f t="shared" si="8"/>
        <v>1864700</v>
      </c>
      <c r="J77" s="248"/>
      <c r="K77" s="248">
        <f t="shared" si="9"/>
        <v>1929000</v>
      </c>
      <c r="L77" s="248"/>
      <c r="M77" s="247">
        <f>1-I77/H77</f>
        <v>9.375E-2</v>
      </c>
      <c r="N77" s="263">
        <f>H77-I77</f>
        <v>192900</v>
      </c>
      <c r="O77" s="245" t="e">
        <f>I77-#REF!</f>
        <v>#REF!</v>
      </c>
      <c r="P77" s="245"/>
    </row>
    <row r="78" spans="1:16" s="168" customFormat="1" x14ac:dyDescent="0.2">
      <c r="A78" s="261">
        <f t="shared" si="10"/>
        <v>72</v>
      </c>
      <c r="B78" s="239" t="s">
        <v>656</v>
      </c>
      <c r="C78" s="239" t="s">
        <v>657</v>
      </c>
      <c r="D78" s="318">
        <v>43.5</v>
      </c>
      <c r="E78" s="208">
        <v>2017</v>
      </c>
      <c r="F78" s="253" t="s">
        <v>669</v>
      </c>
      <c r="G78" s="254" t="s">
        <v>637</v>
      </c>
      <c r="H78" s="234">
        <f t="shared" si="11"/>
        <v>1392000</v>
      </c>
      <c r="I78" s="248">
        <f t="shared" si="8"/>
        <v>1261500</v>
      </c>
      <c r="J78" s="248"/>
      <c r="K78" s="248">
        <f t="shared" si="9"/>
        <v>1305000</v>
      </c>
      <c r="L78" s="248"/>
      <c r="M78" s="247">
        <f>1-I78/H78</f>
        <v>9.375E-2</v>
      </c>
      <c r="N78" s="263">
        <f>H78-I78</f>
        <v>130500</v>
      </c>
      <c r="O78" s="245" t="e">
        <f>I78-#REF!</f>
        <v>#REF!</v>
      </c>
      <c r="P78" s="245"/>
    </row>
    <row r="79" spans="1:16" s="168" customFormat="1" x14ac:dyDescent="0.2">
      <c r="A79" s="261">
        <f t="shared" si="10"/>
        <v>73</v>
      </c>
      <c r="B79" s="239" t="s">
        <v>656</v>
      </c>
      <c r="C79" s="239" t="s">
        <v>657</v>
      </c>
      <c r="D79" s="318">
        <v>42.3</v>
      </c>
      <c r="E79" s="208">
        <v>2017</v>
      </c>
      <c r="F79" s="253" t="s">
        <v>670</v>
      </c>
      <c r="G79" s="254" t="s">
        <v>637</v>
      </c>
      <c r="H79" s="234">
        <f t="shared" si="11"/>
        <v>1353600</v>
      </c>
      <c r="I79" s="248">
        <f t="shared" si="8"/>
        <v>1226700</v>
      </c>
      <c r="J79" s="248"/>
      <c r="K79" s="248">
        <f t="shared" si="9"/>
        <v>1269000</v>
      </c>
      <c r="L79" s="248"/>
      <c r="M79" s="247">
        <f>1-I79/H79</f>
        <v>9.375E-2</v>
      </c>
      <c r="N79" s="263">
        <f>H79-I79</f>
        <v>126900</v>
      </c>
      <c r="O79" s="245" t="e">
        <f>I79-#REF!</f>
        <v>#REF!</v>
      </c>
      <c r="P79" s="245"/>
    </row>
    <row r="80" spans="1:16" s="168" customFormat="1" x14ac:dyDescent="0.2">
      <c r="A80" s="261">
        <f t="shared" si="10"/>
        <v>74</v>
      </c>
      <c r="B80" s="239" t="s">
        <v>656</v>
      </c>
      <c r="C80" s="239" t="s">
        <v>657</v>
      </c>
      <c r="D80" s="318">
        <v>46.3</v>
      </c>
      <c r="E80" s="208">
        <v>2017</v>
      </c>
      <c r="F80" s="253" t="s">
        <v>671</v>
      </c>
      <c r="G80" s="254" t="s">
        <v>637</v>
      </c>
      <c r="H80" s="234">
        <f t="shared" si="11"/>
        <v>1481600</v>
      </c>
      <c r="I80" s="248">
        <f t="shared" si="8"/>
        <v>1342700</v>
      </c>
      <c r="J80" s="248"/>
      <c r="K80" s="248">
        <f t="shared" si="9"/>
        <v>1389000</v>
      </c>
      <c r="L80" s="248"/>
      <c r="M80" s="247">
        <f>1-I80/H80</f>
        <v>9.375E-2</v>
      </c>
      <c r="N80" s="263">
        <f>H80-I80</f>
        <v>138900</v>
      </c>
      <c r="O80" s="245" t="e">
        <f>I80-#REF!</f>
        <v>#REF!</v>
      </c>
      <c r="P80" s="245"/>
    </row>
    <row r="81" spans="1:16" s="168" customFormat="1" x14ac:dyDescent="0.2">
      <c r="A81" s="261">
        <f t="shared" si="10"/>
        <v>75</v>
      </c>
      <c r="B81" s="239" t="s">
        <v>656</v>
      </c>
      <c r="C81" s="239" t="s">
        <v>657</v>
      </c>
      <c r="D81" s="318">
        <v>66.099999999999994</v>
      </c>
      <c r="E81" s="208">
        <v>2017</v>
      </c>
      <c r="F81" s="253" t="s">
        <v>672</v>
      </c>
      <c r="G81" s="254" t="s">
        <v>632</v>
      </c>
      <c r="H81" s="234">
        <f>D81*31000</f>
        <v>2049099.9999999998</v>
      </c>
      <c r="I81" s="248">
        <f>D81*28000</f>
        <v>1850799.9999999998</v>
      </c>
      <c r="J81" s="248"/>
      <c r="K81" s="248">
        <f>D81*29000</f>
        <v>1916899.9999999998</v>
      </c>
      <c r="L81" s="248"/>
      <c r="M81" s="247">
        <f>1-I81/H81</f>
        <v>9.6774193548387122E-2</v>
      </c>
      <c r="N81" s="263">
        <f>H81-I81</f>
        <v>198300</v>
      </c>
      <c r="O81" s="245" t="e">
        <f>I81-#REF!</f>
        <v>#REF!</v>
      </c>
      <c r="P81" s="245"/>
    </row>
    <row r="82" spans="1:16" s="168" customFormat="1" x14ac:dyDescent="0.2">
      <c r="A82" s="261">
        <f t="shared" si="10"/>
        <v>76</v>
      </c>
      <c r="B82" s="239" t="s">
        <v>656</v>
      </c>
      <c r="C82" s="239" t="s">
        <v>657</v>
      </c>
      <c r="D82" s="318">
        <v>72.599999999999994</v>
      </c>
      <c r="E82" s="208">
        <v>2017</v>
      </c>
      <c r="F82" s="253" t="s">
        <v>673</v>
      </c>
      <c r="G82" s="254" t="s">
        <v>632</v>
      </c>
      <c r="H82" s="234">
        <f>D82*31000</f>
        <v>2250600</v>
      </c>
      <c r="I82" s="248">
        <f>D82*28000</f>
        <v>2032799.9999999998</v>
      </c>
      <c r="J82" s="248"/>
      <c r="K82" s="248">
        <f>D82*29000</f>
        <v>2105400</v>
      </c>
      <c r="L82" s="248"/>
      <c r="M82" s="247">
        <f>1-I82/H82</f>
        <v>9.6774193548387233E-2</v>
      </c>
      <c r="N82" s="263">
        <f>H82-I82</f>
        <v>217800.00000000023</v>
      </c>
      <c r="O82" s="245" t="e">
        <f>I82-#REF!</f>
        <v>#REF!</v>
      </c>
      <c r="P82" s="245"/>
    </row>
    <row r="83" spans="1:16" s="168" customFormat="1" x14ac:dyDescent="0.2">
      <c r="A83" s="261">
        <f t="shared" si="10"/>
        <v>77</v>
      </c>
      <c r="B83" s="239" t="s">
        <v>656</v>
      </c>
      <c r="C83" s="239" t="s">
        <v>657</v>
      </c>
      <c r="D83" s="318">
        <v>59.7</v>
      </c>
      <c r="E83" s="208">
        <v>2017</v>
      </c>
      <c r="F83" s="253" t="s">
        <v>674</v>
      </c>
      <c r="G83" s="254" t="s">
        <v>632</v>
      </c>
      <c r="H83" s="234">
        <f>D83*31000</f>
        <v>1850700</v>
      </c>
      <c r="I83" s="248">
        <f>D83*28000</f>
        <v>1671600</v>
      </c>
      <c r="J83" s="248"/>
      <c r="K83" s="248">
        <f>D83*29000</f>
        <v>1731300</v>
      </c>
      <c r="L83" s="248"/>
      <c r="M83" s="247">
        <f>1-I83/H83</f>
        <v>9.6774193548387122E-2</v>
      </c>
      <c r="N83" s="263">
        <f>H83-I83</f>
        <v>179100</v>
      </c>
      <c r="O83" s="245" t="e">
        <f>I83-#REF!</f>
        <v>#REF!</v>
      </c>
      <c r="P83" s="245"/>
    </row>
    <row r="84" spans="1:16" s="168" customFormat="1" x14ac:dyDescent="0.2">
      <c r="A84" s="261">
        <f t="shared" si="10"/>
        <v>78</v>
      </c>
      <c r="B84" s="239" t="s">
        <v>656</v>
      </c>
      <c r="C84" s="239" t="s">
        <v>657</v>
      </c>
      <c r="D84" s="318">
        <v>66.5</v>
      </c>
      <c r="E84" s="208">
        <v>2017</v>
      </c>
      <c r="F84" s="253" t="s">
        <v>675</v>
      </c>
      <c r="G84" s="254" t="s">
        <v>633</v>
      </c>
      <c r="H84" s="234">
        <f>D84*32000</f>
        <v>2128000</v>
      </c>
      <c r="I84" s="248">
        <f t="shared" si="8"/>
        <v>1928500</v>
      </c>
      <c r="J84" s="248"/>
      <c r="K84" s="248">
        <f t="shared" si="9"/>
        <v>1995000</v>
      </c>
      <c r="L84" s="248"/>
      <c r="M84" s="247">
        <f>1-I84/H84</f>
        <v>9.375E-2</v>
      </c>
      <c r="N84" s="263">
        <f>H84-I84</f>
        <v>199500</v>
      </c>
      <c r="O84" s="245" t="e">
        <f>I84-#REF!</f>
        <v>#REF!</v>
      </c>
      <c r="P84" s="245"/>
    </row>
    <row r="85" spans="1:16" s="168" customFormat="1" x14ac:dyDescent="0.2">
      <c r="A85" s="261">
        <f t="shared" si="10"/>
        <v>79</v>
      </c>
      <c r="B85" s="239" t="s">
        <v>656</v>
      </c>
      <c r="C85" s="239" t="s">
        <v>657</v>
      </c>
      <c r="D85" s="318">
        <v>72.5</v>
      </c>
      <c r="E85" s="208">
        <v>2017</v>
      </c>
      <c r="F85" s="253" t="s">
        <v>676</v>
      </c>
      <c r="G85" s="254" t="s">
        <v>633</v>
      </c>
      <c r="H85" s="234">
        <f t="shared" ref="H85:H95" si="12">D85*32000</f>
        <v>2320000</v>
      </c>
      <c r="I85" s="248">
        <f t="shared" si="8"/>
        <v>2102500</v>
      </c>
      <c r="J85" s="248"/>
      <c r="K85" s="248">
        <f t="shared" si="9"/>
        <v>2175000</v>
      </c>
      <c r="L85" s="248"/>
      <c r="M85" s="247">
        <f>1-I85/H85</f>
        <v>9.375E-2</v>
      </c>
      <c r="N85" s="263">
        <f>H85-I85</f>
        <v>217500</v>
      </c>
      <c r="O85" s="245" t="e">
        <f>I85-#REF!</f>
        <v>#REF!</v>
      </c>
      <c r="P85" s="245"/>
    </row>
    <row r="86" spans="1:16" s="168" customFormat="1" x14ac:dyDescent="0.2">
      <c r="A86" s="261">
        <f t="shared" si="10"/>
        <v>80</v>
      </c>
      <c r="B86" s="239" t="s">
        <v>656</v>
      </c>
      <c r="C86" s="239" t="s">
        <v>657</v>
      </c>
      <c r="D86" s="318">
        <v>73.400000000000006</v>
      </c>
      <c r="E86" s="208">
        <v>2017</v>
      </c>
      <c r="F86" s="253" t="s">
        <v>677</v>
      </c>
      <c r="G86" s="254" t="s">
        <v>633</v>
      </c>
      <c r="H86" s="234">
        <f t="shared" si="12"/>
        <v>2348800</v>
      </c>
      <c r="I86" s="248">
        <f t="shared" si="8"/>
        <v>2128600</v>
      </c>
      <c r="J86" s="248"/>
      <c r="K86" s="248">
        <f t="shared" si="9"/>
        <v>2202000</v>
      </c>
      <c r="L86" s="248"/>
      <c r="M86" s="247">
        <f>1-I86/H86</f>
        <v>9.375E-2</v>
      </c>
      <c r="N86" s="263">
        <f>H86-I86</f>
        <v>220200</v>
      </c>
      <c r="O86" s="245" t="e">
        <f>I86-#REF!</f>
        <v>#REF!</v>
      </c>
      <c r="P86" s="245"/>
    </row>
    <row r="87" spans="1:16" s="168" customFormat="1" x14ac:dyDescent="0.2">
      <c r="A87" s="261">
        <f t="shared" si="10"/>
        <v>81</v>
      </c>
      <c r="B87" s="239" t="s">
        <v>656</v>
      </c>
      <c r="C87" s="239" t="s">
        <v>657</v>
      </c>
      <c r="D87" s="318">
        <v>66.900000000000006</v>
      </c>
      <c r="E87" s="208">
        <v>2017</v>
      </c>
      <c r="F87" s="253">
        <v>56</v>
      </c>
      <c r="G87" s="254">
        <v>3</v>
      </c>
      <c r="H87" s="234">
        <f t="shared" si="12"/>
        <v>2140800</v>
      </c>
      <c r="I87" s="248">
        <f t="shared" si="8"/>
        <v>1940100.0000000002</v>
      </c>
      <c r="J87" s="248"/>
      <c r="K87" s="248">
        <f t="shared" si="9"/>
        <v>2007000.0000000002</v>
      </c>
      <c r="L87" s="248"/>
      <c r="M87" s="247">
        <f>1-I87/H87</f>
        <v>9.3749999999999889E-2</v>
      </c>
      <c r="N87" s="263">
        <f>H87-I87</f>
        <v>200699.99999999977</v>
      </c>
      <c r="O87" s="245" t="e">
        <f>I87-#REF!</f>
        <v>#REF!</v>
      </c>
      <c r="P87" s="245" t="s">
        <v>697</v>
      </c>
    </row>
    <row r="88" spans="1:16" s="168" customFormat="1" x14ac:dyDescent="0.2">
      <c r="A88" s="261">
        <f t="shared" si="10"/>
        <v>82</v>
      </c>
      <c r="B88" s="239" t="s">
        <v>656</v>
      </c>
      <c r="C88" s="239" t="s">
        <v>657</v>
      </c>
      <c r="D88" s="318">
        <v>72.8</v>
      </c>
      <c r="E88" s="208">
        <v>2017</v>
      </c>
      <c r="F88" s="253" t="s">
        <v>678</v>
      </c>
      <c r="G88" s="254" t="s">
        <v>634</v>
      </c>
      <c r="H88" s="234">
        <f t="shared" si="12"/>
        <v>2329600</v>
      </c>
      <c r="I88" s="248">
        <f t="shared" si="8"/>
        <v>2111200</v>
      </c>
      <c r="J88" s="248"/>
      <c r="K88" s="248">
        <f t="shared" si="9"/>
        <v>2184000</v>
      </c>
      <c r="L88" s="248"/>
      <c r="M88" s="247">
        <f>1-I88/H88</f>
        <v>9.375E-2</v>
      </c>
      <c r="N88" s="263">
        <f>H88-I88</f>
        <v>218400</v>
      </c>
      <c r="O88" s="245" t="e">
        <f>I88-#REF!</f>
        <v>#REF!</v>
      </c>
      <c r="P88" s="245"/>
    </row>
    <row r="89" spans="1:16" s="168" customFormat="1" x14ac:dyDescent="0.2">
      <c r="A89" s="261">
        <f t="shared" si="10"/>
        <v>83</v>
      </c>
      <c r="B89" s="239" t="s">
        <v>656</v>
      </c>
      <c r="C89" s="239" t="s">
        <v>657</v>
      </c>
      <c r="D89" s="318">
        <v>73.7</v>
      </c>
      <c r="E89" s="208">
        <v>2017</v>
      </c>
      <c r="F89" s="253" t="s">
        <v>679</v>
      </c>
      <c r="G89" s="254" t="s">
        <v>634</v>
      </c>
      <c r="H89" s="234">
        <f t="shared" si="12"/>
        <v>2358400</v>
      </c>
      <c r="I89" s="248">
        <f t="shared" si="8"/>
        <v>2137300</v>
      </c>
      <c r="J89" s="248"/>
      <c r="K89" s="248">
        <f t="shared" si="9"/>
        <v>2211000</v>
      </c>
      <c r="L89" s="248"/>
      <c r="M89" s="247">
        <f>1-I89/H89</f>
        <v>9.375E-2</v>
      </c>
      <c r="N89" s="263">
        <f>H89-I89</f>
        <v>221100</v>
      </c>
      <c r="O89" s="245" t="e">
        <f>I89-#REF!</f>
        <v>#REF!</v>
      </c>
      <c r="P89" s="245"/>
    </row>
    <row r="90" spans="1:16" s="168" customFormat="1" x14ac:dyDescent="0.2">
      <c r="A90" s="261">
        <f t="shared" si="10"/>
        <v>84</v>
      </c>
      <c r="B90" s="239" t="s">
        <v>656</v>
      </c>
      <c r="C90" s="239" t="s">
        <v>657</v>
      </c>
      <c r="D90" s="318">
        <v>66.8</v>
      </c>
      <c r="E90" s="208">
        <v>2017</v>
      </c>
      <c r="F90" s="253" t="s">
        <v>680</v>
      </c>
      <c r="G90" s="254" t="s">
        <v>636</v>
      </c>
      <c r="H90" s="234">
        <f t="shared" si="12"/>
        <v>2137600</v>
      </c>
      <c r="I90" s="248">
        <f t="shared" si="8"/>
        <v>1937200</v>
      </c>
      <c r="J90" s="248"/>
      <c r="K90" s="248">
        <f t="shared" si="9"/>
        <v>2004000</v>
      </c>
      <c r="L90" s="248"/>
      <c r="M90" s="247">
        <f>1-I90/H90</f>
        <v>9.375E-2</v>
      </c>
      <c r="N90" s="263">
        <f>H90-I90</f>
        <v>200400</v>
      </c>
      <c r="O90" s="245" t="e">
        <f>I90-#REF!</f>
        <v>#REF!</v>
      </c>
      <c r="P90" s="245"/>
    </row>
    <row r="91" spans="1:16" s="168" customFormat="1" x14ac:dyDescent="0.2">
      <c r="A91" s="261">
        <f t="shared" si="10"/>
        <v>85</v>
      </c>
      <c r="B91" s="239" t="s">
        <v>656</v>
      </c>
      <c r="C91" s="239" t="s">
        <v>657</v>
      </c>
      <c r="D91" s="318">
        <v>72.8</v>
      </c>
      <c r="E91" s="208">
        <v>2017</v>
      </c>
      <c r="F91" s="253" t="s">
        <v>681</v>
      </c>
      <c r="G91" s="254" t="s">
        <v>636</v>
      </c>
      <c r="H91" s="234">
        <f t="shared" si="12"/>
        <v>2329600</v>
      </c>
      <c r="I91" s="248">
        <f t="shared" si="8"/>
        <v>2111200</v>
      </c>
      <c r="J91" s="248"/>
      <c r="K91" s="248">
        <f t="shared" si="9"/>
        <v>2184000</v>
      </c>
      <c r="L91" s="248"/>
      <c r="M91" s="247">
        <f>1-I91/H91</f>
        <v>9.375E-2</v>
      </c>
      <c r="N91" s="263">
        <f>H91-I91</f>
        <v>218400</v>
      </c>
      <c r="O91" s="245" t="e">
        <f>I91-#REF!</f>
        <v>#REF!</v>
      </c>
      <c r="P91" s="245"/>
    </row>
    <row r="92" spans="1:16" s="168" customFormat="1" x14ac:dyDescent="0.2">
      <c r="A92" s="261">
        <f t="shared" si="10"/>
        <v>86</v>
      </c>
      <c r="B92" s="239" t="s">
        <v>656</v>
      </c>
      <c r="C92" s="239" t="s">
        <v>657</v>
      </c>
      <c r="D92" s="318">
        <v>73.8</v>
      </c>
      <c r="E92" s="208">
        <v>2017</v>
      </c>
      <c r="F92" s="253" t="s">
        <v>682</v>
      </c>
      <c r="G92" s="254" t="s">
        <v>636</v>
      </c>
      <c r="H92" s="234">
        <f t="shared" si="12"/>
        <v>2361600</v>
      </c>
      <c r="I92" s="248">
        <f t="shared" si="8"/>
        <v>2140200</v>
      </c>
      <c r="J92" s="248"/>
      <c r="K92" s="248">
        <f t="shared" si="9"/>
        <v>2214000</v>
      </c>
      <c r="L92" s="248"/>
      <c r="M92" s="247">
        <f>1-I92/H92</f>
        <v>9.375E-2</v>
      </c>
      <c r="N92" s="263">
        <f>H92-I92</f>
        <v>221400</v>
      </c>
      <c r="O92" s="245" t="e">
        <f>I92-#REF!</f>
        <v>#REF!</v>
      </c>
      <c r="P92" s="245"/>
    </row>
    <row r="93" spans="1:16" s="168" customFormat="1" x14ac:dyDescent="0.2">
      <c r="A93" s="261">
        <f t="shared" si="10"/>
        <v>87</v>
      </c>
      <c r="B93" s="239" t="s">
        <v>656</v>
      </c>
      <c r="C93" s="239" t="s">
        <v>657</v>
      </c>
      <c r="D93" s="318">
        <v>66.900000000000006</v>
      </c>
      <c r="E93" s="208">
        <v>2017</v>
      </c>
      <c r="F93" s="253" t="s">
        <v>683</v>
      </c>
      <c r="G93" s="254" t="s">
        <v>637</v>
      </c>
      <c r="H93" s="234">
        <f t="shared" si="12"/>
        <v>2140800</v>
      </c>
      <c r="I93" s="248">
        <f t="shared" si="8"/>
        <v>1940100.0000000002</v>
      </c>
      <c r="J93" s="248"/>
      <c r="K93" s="248">
        <f t="shared" si="9"/>
        <v>2007000.0000000002</v>
      </c>
      <c r="L93" s="248"/>
      <c r="M93" s="247">
        <f>1-I93/H93</f>
        <v>9.3749999999999889E-2</v>
      </c>
      <c r="N93" s="263">
        <f>H93-I93</f>
        <v>200699.99999999977</v>
      </c>
      <c r="O93" s="245" t="e">
        <f>I93-#REF!</f>
        <v>#REF!</v>
      </c>
      <c r="P93" s="245"/>
    </row>
    <row r="94" spans="1:16" s="168" customFormat="1" x14ac:dyDescent="0.2">
      <c r="A94" s="261">
        <f t="shared" si="10"/>
        <v>88</v>
      </c>
      <c r="B94" s="245" t="s">
        <v>656</v>
      </c>
      <c r="C94" s="245" t="s">
        <v>657</v>
      </c>
      <c r="D94" s="319">
        <v>72.8</v>
      </c>
      <c r="E94" s="255">
        <v>2017</v>
      </c>
      <c r="F94" s="258" t="s">
        <v>684</v>
      </c>
      <c r="G94" s="258" t="s">
        <v>637</v>
      </c>
      <c r="H94" s="257">
        <f t="shared" si="12"/>
        <v>2329600</v>
      </c>
      <c r="I94" s="248">
        <f t="shared" si="8"/>
        <v>2111200</v>
      </c>
      <c r="J94" s="248"/>
      <c r="K94" s="248">
        <f t="shared" si="9"/>
        <v>2184000</v>
      </c>
      <c r="L94" s="248"/>
      <c r="M94" s="247">
        <f>1-I94/H94</f>
        <v>9.375E-2</v>
      </c>
      <c r="N94" s="263">
        <f>H94-I94</f>
        <v>218400</v>
      </c>
      <c r="O94" s="245" t="e">
        <f>I94-#REF!</f>
        <v>#REF!</v>
      </c>
      <c r="P94" s="245"/>
    </row>
    <row r="95" spans="1:16" s="168" customFormat="1" x14ac:dyDescent="0.2">
      <c r="A95" s="261">
        <f t="shared" si="10"/>
        <v>89</v>
      </c>
      <c r="B95" s="245" t="s">
        <v>656</v>
      </c>
      <c r="C95" s="245" t="s">
        <v>657</v>
      </c>
      <c r="D95" s="319">
        <v>73.8</v>
      </c>
      <c r="E95" s="255">
        <v>2017</v>
      </c>
      <c r="F95" s="258" t="s">
        <v>685</v>
      </c>
      <c r="G95" s="258" t="s">
        <v>637</v>
      </c>
      <c r="H95" s="257">
        <f t="shared" si="12"/>
        <v>2361600</v>
      </c>
      <c r="I95" s="248">
        <f t="shared" si="8"/>
        <v>2140200</v>
      </c>
      <c r="J95" s="248"/>
      <c r="K95" s="248">
        <f t="shared" si="9"/>
        <v>2214000</v>
      </c>
      <c r="L95" s="248"/>
      <c r="M95" s="247">
        <f>1-I95/H95</f>
        <v>9.375E-2</v>
      </c>
      <c r="N95" s="263">
        <f>H95-I95</f>
        <v>221400</v>
      </c>
      <c r="O95" s="245" t="e">
        <f>I95-#REF!</f>
        <v>#REF!</v>
      </c>
      <c r="P95" s="245"/>
    </row>
    <row r="96" spans="1:16" s="168" customFormat="1" x14ac:dyDescent="0.25">
      <c r="A96" s="261">
        <f t="shared" si="10"/>
        <v>90</v>
      </c>
      <c r="B96" s="245" t="s">
        <v>695</v>
      </c>
      <c r="C96" s="245" t="s">
        <v>696</v>
      </c>
      <c r="D96" s="245">
        <v>46.5</v>
      </c>
      <c r="E96" s="255">
        <v>2015</v>
      </c>
      <c r="F96" s="256">
        <v>14</v>
      </c>
      <c r="G96" s="256">
        <v>1</v>
      </c>
      <c r="H96" s="257">
        <f>D96*29000</f>
        <v>1348500</v>
      </c>
      <c r="I96" s="257"/>
      <c r="J96" s="259">
        <v>1162500</v>
      </c>
      <c r="K96" s="248"/>
      <c r="L96" s="248">
        <v>1162500</v>
      </c>
      <c r="M96" s="247">
        <f>1-J96/H96</f>
        <v>0.13793103448275867</v>
      </c>
      <c r="N96" s="263">
        <f>H96-J96</f>
        <v>186000</v>
      </c>
      <c r="O96" s="260" t="e">
        <f>SUM(O7:O95)</f>
        <v>#REF!</v>
      </c>
      <c r="P96" s="245"/>
    </row>
    <row r="97" spans="1:10" s="168" customFormat="1" x14ac:dyDescent="0.25">
      <c r="A97" s="232"/>
      <c r="E97" s="233"/>
      <c r="F97" s="236"/>
      <c r="G97" s="236"/>
      <c r="H97" s="237"/>
      <c r="I97" s="237"/>
      <c r="J97" s="237"/>
    </row>
    <row r="98" spans="1:10" s="168" customFormat="1" x14ac:dyDescent="0.25">
      <c r="A98" s="232"/>
      <c r="E98" s="233"/>
      <c r="F98" s="236"/>
      <c r="G98" s="236"/>
      <c r="H98" s="237"/>
      <c r="I98" s="237"/>
      <c r="J98" s="237"/>
    </row>
  </sheetData>
  <autoFilter ref="A6:P96"/>
  <sortState ref="A6:R116">
    <sortCondition ref="B6:B116"/>
  </sortState>
  <mergeCells count="17">
    <mergeCell ref="O2:O6"/>
    <mergeCell ref="M2:M6"/>
    <mergeCell ref="N2:N6"/>
    <mergeCell ref="I2:L3"/>
    <mergeCell ref="P2:P6"/>
    <mergeCell ref="A1:O1"/>
    <mergeCell ref="A2:A6"/>
    <mergeCell ref="B2:B6"/>
    <mergeCell ref="C2:C6"/>
    <mergeCell ref="D2:D6"/>
    <mergeCell ref="E2:E6"/>
    <mergeCell ref="F2:F6"/>
    <mergeCell ref="G2:G6"/>
    <mergeCell ref="H2:H6"/>
    <mergeCell ref="I4:L4"/>
    <mergeCell ref="I5:J5"/>
    <mergeCell ref="K5:L5"/>
  </mergeCells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Росреестр исходник </vt:lpstr>
      <vt:lpstr>Росреестр массив</vt:lpstr>
      <vt:lpstr>Росреестр анализ</vt:lpstr>
      <vt:lpstr>Квар.реализация</vt:lpstr>
      <vt:lpstr>Лист1</vt:lpstr>
      <vt:lpstr>Кратко Кв.Реализация</vt:lpstr>
      <vt:lpstr>перечень квартир</vt:lpstr>
      <vt:lpstr>'Росреестр исходник '!Заголовки_для_печати</vt:lpstr>
      <vt:lpstr>локация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Муратова Альбина Венировна</dc:creator>
  <cp:lastModifiedBy>Мых Евгения Александровна</cp:lastModifiedBy>
  <cp:lastPrinted>2018-08-22T08:01:18Z</cp:lastPrinted>
  <dcterms:created xsi:type="dcterms:W3CDTF">2017-08-25T06:13:14Z</dcterms:created>
  <dcterms:modified xsi:type="dcterms:W3CDTF">2018-10-22T04:20:56Z</dcterms:modified>
</cp:coreProperties>
</file>